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GMUSD Summary" sheetId="1" r:id="rId1"/>
    <sheet name="GMUSD Detailed" sheetId="2" r:id="rId2"/>
    <sheet name="Cavendish Elementary" sheetId="3" r:id="rId3"/>
    <sheet name="Chester-Andover Elementary" sheetId="4" r:id="rId4"/>
    <sheet name="Green Mtn HS" sheetId="5" r:id="rId5"/>
    <sheet name="GMUSD District" sheetId="6" r:id="rId6"/>
    <sheet name="Sheet7" sheetId="7" r:id="rId7"/>
  </sheets>
  <definedNames/>
  <calcPr fullCalcOnLoad="1"/>
</workbook>
</file>

<file path=xl/sharedStrings.xml><?xml version="1.0" encoding="utf-8"?>
<sst xmlns="http://schemas.openxmlformats.org/spreadsheetml/2006/main" count="1794" uniqueCount="121">
  <si>
    <t>GMUSD Budget Summary</t>
  </si>
  <si>
    <t>2022-2023</t>
  </si>
  <si>
    <t>Personnel</t>
  </si>
  <si>
    <t xml:space="preserve"> </t>
  </si>
  <si>
    <t>2019-2020</t>
  </si>
  <si>
    <t>2020-2021</t>
  </si>
  <si>
    <t>2021-2022</t>
  </si>
  <si>
    <t>Difference</t>
  </si>
  <si>
    <t>% Increase</t>
  </si>
  <si>
    <t>Salary</t>
  </si>
  <si>
    <t>Benefits</t>
  </si>
  <si>
    <t>Total</t>
  </si>
  <si>
    <t>Includes:</t>
  </si>
  <si>
    <t>Projected Health Insurance increase 5.2%</t>
  </si>
  <si>
    <t>Projected Dental Insurance increase 3%</t>
  </si>
  <si>
    <t>Projected VT Municipal Retirement increase .5%</t>
  </si>
  <si>
    <t>Object Category</t>
  </si>
  <si>
    <t>Actual 2019-2020</t>
  </si>
  <si>
    <t>Actual 2020-2021</t>
  </si>
  <si>
    <t>Approved Budget 2021-2022</t>
  </si>
  <si>
    <t>Proposed Budget 2022-2023</t>
  </si>
  <si>
    <t>% increase/ decrease</t>
  </si>
  <si>
    <t xml:space="preserve">Salaries </t>
  </si>
  <si>
    <t>Purchased Services</t>
  </si>
  <si>
    <t>Repair &amp; Maintenance</t>
  </si>
  <si>
    <t>Tuition</t>
  </si>
  <si>
    <t>Assessment</t>
  </si>
  <si>
    <t>Tech Center</t>
  </si>
  <si>
    <t>Telephone; Postage; Insurance</t>
  </si>
  <si>
    <t>Supplies; Utilities</t>
  </si>
  <si>
    <t>Equipment</t>
  </si>
  <si>
    <t>Dues &amp; Fees; Contingency</t>
  </si>
  <si>
    <t>Capital, Transportation and HRA Reserve</t>
  </si>
  <si>
    <t>of this budget is salary and benefits</t>
  </si>
  <si>
    <t>Revenue</t>
  </si>
  <si>
    <t>Subgrant - CFR LEA Grant</t>
  </si>
  <si>
    <t>Prior Year Fund Balance</t>
  </si>
  <si>
    <t>Interest</t>
  </si>
  <si>
    <t>Town of Chester - Williams/Ingalls</t>
  </si>
  <si>
    <t>Town of Andover - Lease/Deed Interest</t>
  </si>
  <si>
    <t>Rental</t>
  </si>
  <si>
    <t>School to Work Reimbursement</t>
  </si>
  <si>
    <t>From Transportation Reservce</t>
  </si>
  <si>
    <t>Miscellaneous Revenue</t>
  </si>
  <si>
    <t>VSAC Gear Up</t>
  </si>
  <si>
    <t>General State Support Grant</t>
  </si>
  <si>
    <t>Tech Center- On Behalf of</t>
  </si>
  <si>
    <t>Tech - Unenrolled Residents</t>
  </si>
  <si>
    <t>FY22 Threshold</t>
  </si>
  <si>
    <t>Merger Grant</t>
  </si>
  <si>
    <t>FY22 Cost per Pupil</t>
  </si>
  <si>
    <t>High School Completion</t>
  </si>
  <si>
    <t>Driver's Ed Reimbursement</t>
  </si>
  <si>
    <t>Adjustment to Prior Year</t>
  </si>
  <si>
    <t>Medicaid Revenue</t>
  </si>
  <si>
    <t>State Placed Student Reimb</t>
  </si>
  <si>
    <t>MAC Reimbursement</t>
  </si>
  <si>
    <t>Technology Repairs</t>
  </si>
  <si>
    <t>Sales of Old Technology</t>
  </si>
  <si>
    <t>Device Loss or Damage</t>
  </si>
  <si>
    <t>E-Rate</t>
  </si>
  <si>
    <t>Food Service</t>
  </si>
  <si>
    <t>TRSU Reimbursement for Clinician</t>
  </si>
  <si>
    <t>Prior Year Special Ed Reimbursement</t>
  </si>
  <si>
    <t>Special Education Reimbursement</t>
  </si>
  <si>
    <t>Debt Service- 5090</t>
  </si>
  <si>
    <t>Preschool - 01/1101</t>
  </si>
  <si>
    <t>.5 FTE/ 1 Staff</t>
  </si>
  <si>
    <t>Elementary Education</t>
  </si>
  <si>
    <t>29 FTE/ 32 Staff</t>
  </si>
  <si>
    <t xml:space="preserve">High School </t>
  </si>
  <si>
    <t>29.17 FTE/ 30 Staff</t>
  </si>
  <si>
    <t>Library</t>
  </si>
  <si>
    <t>2 FTE/ 2 Staff</t>
  </si>
  <si>
    <t>Guidance/ Mental Health</t>
  </si>
  <si>
    <t>8.5 FTE/ 9 Staff</t>
  </si>
  <si>
    <t>Principal's Office</t>
  </si>
  <si>
    <t>8.95 FTE/10 Staff</t>
  </si>
  <si>
    <t>Technology</t>
  </si>
  <si>
    <t>Repair &amp; Maintenance; Lease</t>
  </si>
  <si>
    <t>Maintenance 2610</t>
  </si>
  <si>
    <t>9 FTE/ 11 Staff</t>
  </si>
  <si>
    <t>Special Education</t>
  </si>
  <si>
    <t>40.78 FTE/ 43 Staff</t>
  </si>
  <si>
    <t>Title I</t>
  </si>
  <si>
    <t>Teacher Leader/Professional Development</t>
  </si>
  <si>
    <t>Professional Development</t>
  </si>
  <si>
    <t>Board of Education/ HRA Reserve</t>
  </si>
  <si>
    <t>Repairs &amp; Maintenance</t>
  </si>
  <si>
    <t>Prior Year Expenditure</t>
  </si>
  <si>
    <t>Transportation/ Crossing Guard</t>
  </si>
  <si>
    <t>.1 FTE/ 2 Staff</t>
  </si>
  <si>
    <t>Transition</t>
  </si>
  <si>
    <t>5.35 FTE/ 8 Staff</t>
  </si>
  <si>
    <t>Nurse</t>
  </si>
  <si>
    <t>2.65 FTE/ 3 Staff</t>
  </si>
  <si>
    <t>Cavendish Summary Budget</t>
  </si>
  <si>
    <t>percentage of salary and benefits to the budget</t>
  </si>
  <si>
    <t>Approveded Budget 2021-2022</t>
  </si>
  <si>
    <t>9.5 FTE/ 12 Staff</t>
  </si>
  <si>
    <t>.9 FTE/ 1 Staff</t>
  </si>
  <si>
    <t>2 FTE/ 3 Staff</t>
  </si>
  <si>
    <t>9.5 FTE/ 11 Staff</t>
  </si>
  <si>
    <t>.05 FTE/ 1 Staff</t>
  </si>
  <si>
    <t>1.64 FTE/ 2 Staff</t>
  </si>
  <si>
    <t>Chester-Andover Budget Summary</t>
  </si>
  <si>
    <t>percentage of salary and benefts to the budget</t>
  </si>
  <si>
    <t>18.5 FTE/ 19 Staff</t>
  </si>
  <si>
    <t>1 FTE/ 1 Staff</t>
  </si>
  <si>
    <t>3.75 FTE/ 4 Staff</t>
  </si>
  <si>
    <t>2.5 FTE/ 3 Staff</t>
  </si>
  <si>
    <t>21 FTE/ 21 Staff</t>
  </si>
  <si>
    <t>1.56 FTE/ 3 Staff</t>
  </si>
  <si>
    <t>Green Mountain High School Budget Summary</t>
  </si>
  <si>
    <t>percentage of salary and benefits of budget</t>
  </si>
  <si>
    <t>6 FTE/ 7 Staff</t>
  </si>
  <si>
    <t>3.2 FTE/ 4 Staff</t>
  </si>
  <si>
    <t>4.5 FTE/ 5 Staff</t>
  </si>
  <si>
    <t>9.78 FTE/ 10 Staff</t>
  </si>
  <si>
    <t>1.15 FTE/ 2 Staff</t>
  </si>
  <si>
    <t>STEM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</si>
</sst>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\$#,##0"/>
    <numFmt numFmtId="167" formatCode="\$#,##0.00"/>
    <numFmt numFmtId="168" formatCode="0.00%"/>
  </numFmts>
  <fonts count="5"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8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 applyAlignment="1">
      <alignment/>
      <protection/>
    </xf>
    <xf numFmtId="164" fontId="3" fillId="0" borderId="0" xfId="20" applyFont="1" applyAlignment="1">
      <alignment horizontal="center"/>
      <protection/>
    </xf>
    <xf numFmtId="164" fontId="3" fillId="0" borderId="0" xfId="20" applyFont="1" applyAlignment="1">
      <alignment/>
      <protection/>
    </xf>
    <xf numFmtId="164" fontId="2" fillId="0" borderId="1" xfId="20" applyFont="1" applyBorder="1" applyAlignment="1">
      <alignment/>
      <protection/>
    </xf>
    <xf numFmtId="164" fontId="2" fillId="0" borderId="1" xfId="20" applyFont="1" applyBorder="1" applyAlignment="1">
      <alignment horizontal="center"/>
      <protection/>
    </xf>
    <xf numFmtId="164" fontId="2" fillId="0" borderId="1" xfId="20" applyFont="1" applyBorder="1" applyAlignment="1">
      <alignment horizontal="right"/>
      <protection/>
    </xf>
    <xf numFmtId="166" fontId="2" fillId="0" borderId="1" xfId="20" applyNumberFormat="1" applyFont="1" applyBorder="1" applyAlignment="1">
      <alignment horizontal="right"/>
      <protection/>
    </xf>
    <xf numFmtId="167" fontId="2" fillId="0" borderId="1" xfId="20" applyNumberFormat="1" applyFont="1" applyBorder="1" applyAlignment="1">
      <alignment horizontal="right"/>
      <protection/>
    </xf>
    <xf numFmtId="168" fontId="2" fillId="0" borderId="1" xfId="20" applyNumberFormat="1" applyFont="1" applyBorder="1" applyAlignment="1">
      <alignment horizontal="right"/>
      <protection/>
    </xf>
    <xf numFmtId="164" fontId="4" fillId="0" borderId="1" xfId="20" applyFont="1" applyBorder="1" applyAlignment="1">
      <alignment horizontal="center"/>
      <protection/>
    </xf>
    <xf numFmtId="164" fontId="4" fillId="0" borderId="1" xfId="20" applyFont="1" applyBorder="1" applyAlignment="1">
      <alignment horizontal="center" wrapText="1"/>
      <protection/>
    </xf>
    <xf numFmtId="167" fontId="2" fillId="0" borderId="0" xfId="20" applyNumberFormat="1" applyFont="1" applyAlignment="1">
      <alignment/>
      <protection/>
    </xf>
    <xf numFmtId="166" fontId="2" fillId="0" borderId="0" xfId="20" applyNumberFormat="1" applyFont="1" applyAlignment="1">
      <alignment/>
      <protection/>
    </xf>
    <xf numFmtId="168" fontId="2" fillId="0" borderId="0" xfId="20" applyNumberFormat="1" applyFont="1" applyAlignment="1">
      <alignment/>
      <protection/>
    </xf>
    <xf numFmtId="168" fontId="2" fillId="0" borderId="0" xfId="20" applyNumberFormat="1" applyFont="1" applyAlignment="1">
      <alignment horizontal="right"/>
      <protection/>
    </xf>
    <xf numFmtId="168" fontId="2" fillId="0" borderId="1" xfId="20" applyNumberFormat="1" applyFont="1" applyBorder="1" applyAlignme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62"/>
  <sheetViews>
    <sheetView workbookViewId="0" topLeftCell="A1">
      <selection activeCell="A1" sqref="A1"/>
    </sheetView>
  </sheetViews>
  <sheetFormatPr defaultColWidth="13.7109375" defaultRowHeight="15.75" customHeight="1"/>
  <cols>
    <col min="1" max="1" width="14.421875" style="1" customWidth="1"/>
    <col min="2" max="2" width="35.8515625" style="1" customWidth="1"/>
    <col min="3" max="16384" width="14.421875" style="1" customWidth="1"/>
  </cols>
  <sheetData>
    <row r="1" spans="1:28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2.75">
      <c r="A3" s="2"/>
      <c r="B3" s="2"/>
      <c r="C3" s="2"/>
      <c r="D3" s="3"/>
      <c r="E3" s="3" t="s">
        <v>0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2.75">
      <c r="A4" s="2"/>
      <c r="B4" s="2"/>
      <c r="C4" s="2"/>
      <c r="D4" s="4"/>
      <c r="E4" s="4" t="s">
        <v>1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2.75">
      <c r="A5" s="2"/>
      <c r="B5" s="2"/>
      <c r="C5" s="2"/>
      <c r="D5" s="3"/>
      <c r="E5" s="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2.75">
      <c r="A7" s="5"/>
      <c r="B7" s="5" t="s">
        <v>2</v>
      </c>
      <c r="C7" s="5"/>
      <c r="D7" s="5"/>
      <c r="E7" s="5"/>
      <c r="F7" s="5"/>
      <c r="G7" s="5" t="s">
        <v>3</v>
      </c>
      <c r="H7" s="5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2.75">
      <c r="A8" s="5"/>
      <c r="B8" s="5"/>
      <c r="C8" s="6" t="s">
        <v>4</v>
      </c>
      <c r="D8" s="6" t="s">
        <v>5</v>
      </c>
      <c r="E8" s="6" t="s">
        <v>6</v>
      </c>
      <c r="F8" s="6" t="s">
        <v>1</v>
      </c>
      <c r="G8" s="6" t="s">
        <v>7</v>
      </c>
      <c r="H8" s="6" t="s">
        <v>8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2.75">
      <c r="A9" s="7">
        <v>100</v>
      </c>
      <c r="B9" s="5" t="s">
        <v>9</v>
      </c>
      <c r="C9" s="8">
        <v>6322375.86</v>
      </c>
      <c r="D9" s="8">
        <v>6064255</v>
      </c>
      <c r="E9" s="8">
        <v>6551145.25</v>
      </c>
      <c r="F9" s="8">
        <v>6751860.12</v>
      </c>
      <c r="G9" s="9">
        <f aca="true" t="shared" si="0" ref="G9:G11">F9-E9</f>
        <v>200714.8700000001</v>
      </c>
      <c r="H9" s="10">
        <f aca="true" t="shared" si="1" ref="H9:H11">(F9-E9)/E9</f>
        <v>0.030638134607075016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12.75">
      <c r="A10" s="7">
        <v>200</v>
      </c>
      <c r="B10" s="5" t="s">
        <v>10</v>
      </c>
      <c r="C10" s="8">
        <v>2022514.71</v>
      </c>
      <c r="D10" s="8">
        <v>2145025</v>
      </c>
      <c r="E10" s="8">
        <v>2446776.06</v>
      </c>
      <c r="F10" s="8">
        <v>2547256.66</v>
      </c>
      <c r="G10" s="9">
        <f t="shared" si="0"/>
        <v>100480.6000000001</v>
      </c>
      <c r="H10" s="10">
        <f t="shared" si="1"/>
        <v>0.0410665289899886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2.75">
      <c r="A11" s="5"/>
      <c r="B11" s="5" t="s">
        <v>11</v>
      </c>
      <c r="C11" s="8">
        <f>SUM(C9:C10)</f>
        <v>8344890.57</v>
      </c>
      <c r="D11" s="8">
        <f>D10+D9</f>
        <v>8209280</v>
      </c>
      <c r="E11" s="8">
        <f aca="true" t="shared" si="2" ref="E11:F11">SUM(E9:E10)</f>
        <v>8997921.31</v>
      </c>
      <c r="F11" s="8">
        <f t="shared" si="2"/>
        <v>9299116.780000001</v>
      </c>
      <c r="G11" s="9">
        <f t="shared" si="0"/>
        <v>301195.47000000067</v>
      </c>
      <c r="H11" s="10">
        <f t="shared" si="1"/>
        <v>0.03347389465000785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12.75">
      <c r="A13" s="2"/>
      <c r="B13" s="2" t="s">
        <v>12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2.75">
      <c r="A14" s="2"/>
      <c r="B14" s="2" t="s">
        <v>13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12.75">
      <c r="A15" s="2"/>
      <c r="B15" s="2" t="s">
        <v>14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2.75">
      <c r="A16" s="2"/>
      <c r="B16" s="2" t="s">
        <v>15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12.75">
      <c r="A18" s="5"/>
      <c r="B18" s="11" t="s">
        <v>16</v>
      </c>
      <c r="C18" s="12" t="s">
        <v>17</v>
      </c>
      <c r="D18" s="12" t="s">
        <v>18</v>
      </c>
      <c r="E18" s="12" t="s">
        <v>19</v>
      </c>
      <c r="F18" s="12" t="s">
        <v>20</v>
      </c>
      <c r="G18" s="11" t="s">
        <v>7</v>
      </c>
      <c r="H18" s="12" t="s">
        <v>21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2.75">
      <c r="A19" s="5"/>
      <c r="B19" s="5"/>
      <c r="C19" s="5"/>
      <c r="D19" s="5"/>
      <c r="E19" s="5"/>
      <c r="F19" s="5"/>
      <c r="G19" s="5"/>
      <c r="H19" s="5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2.75">
      <c r="A20" s="7">
        <v>100</v>
      </c>
      <c r="B20" s="5" t="s">
        <v>22</v>
      </c>
      <c r="C20" s="8">
        <f aca="true" t="shared" si="3" ref="C20:C21">C9</f>
        <v>6322375.86</v>
      </c>
      <c r="D20" s="8">
        <v>6064254.58</v>
      </c>
      <c r="E20" s="8">
        <f aca="true" t="shared" si="4" ref="E20:F20">E9</f>
        <v>6551145.25</v>
      </c>
      <c r="F20" s="8">
        <f t="shared" si="4"/>
        <v>6751860.12</v>
      </c>
      <c r="G20" s="8">
        <f aca="true" t="shared" si="5" ref="G20:G31">F20-E20</f>
        <v>200714.8700000001</v>
      </c>
      <c r="H20" s="10">
        <f aca="true" t="shared" si="6" ref="H20:H32">G20/E20</f>
        <v>0.030638134607075016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2.75">
      <c r="A21" s="7">
        <v>200</v>
      </c>
      <c r="B21" s="5" t="s">
        <v>10</v>
      </c>
      <c r="C21" s="8">
        <f t="shared" si="3"/>
        <v>2022514.71</v>
      </c>
      <c r="D21" s="8">
        <v>2145024.94</v>
      </c>
      <c r="E21" s="8">
        <f aca="true" t="shared" si="7" ref="E21:F21">E10</f>
        <v>2446776.06</v>
      </c>
      <c r="F21" s="8">
        <f t="shared" si="7"/>
        <v>2547256.66</v>
      </c>
      <c r="G21" s="8">
        <f t="shared" si="5"/>
        <v>100480.6000000001</v>
      </c>
      <c r="H21" s="10">
        <f t="shared" si="6"/>
        <v>0.0410665289899886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12.75">
      <c r="A22" s="7">
        <v>300</v>
      </c>
      <c r="B22" s="5" t="s">
        <v>23</v>
      </c>
      <c r="C22" s="8">
        <v>356672.17</v>
      </c>
      <c r="D22" s="8">
        <v>318461.35</v>
      </c>
      <c r="E22" s="8">
        <v>328198.65</v>
      </c>
      <c r="F22" s="8">
        <v>445117.5</v>
      </c>
      <c r="G22" s="8">
        <f t="shared" si="5"/>
        <v>116918.84999999998</v>
      </c>
      <c r="H22" s="10">
        <f t="shared" si="6"/>
        <v>0.3562441527410304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12.75">
      <c r="A23" s="7">
        <v>400</v>
      </c>
      <c r="B23" s="5" t="s">
        <v>24</v>
      </c>
      <c r="C23" s="8">
        <v>372715.77</v>
      </c>
      <c r="D23" s="8">
        <v>377799.49</v>
      </c>
      <c r="E23" s="8">
        <f>412625+5970</f>
        <v>418595</v>
      </c>
      <c r="F23" s="8">
        <v>433900</v>
      </c>
      <c r="G23" s="8">
        <f t="shared" si="5"/>
        <v>15305</v>
      </c>
      <c r="H23" s="10">
        <f t="shared" si="6"/>
        <v>0.036562787419821066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2.75">
      <c r="A24" s="7">
        <v>561</v>
      </c>
      <c r="B24" s="5" t="s">
        <v>25</v>
      </c>
      <c r="C24" s="8">
        <v>450650.33</v>
      </c>
      <c r="D24" s="8">
        <v>303639.22</v>
      </c>
      <c r="E24" s="8">
        <v>403653</v>
      </c>
      <c r="F24" s="8">
        <v>303551</v>
      </c>
      <c r="G24" s="8">
        <f t="shared" si="5"/>
        <v>-100102</v>
      </c>
      <c r="H24" s="10">
        <f t="shared" si="6"/>
        <v>-0.24799022923154293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2.75">
      <c r="A25" s="7">
        <v>593</v>
      </c>
      <c r="B25" s="5" t="s">
        <v>26</v>
      </c>
      <c r="C25" s="8">
        <v>2022423.46</v>
      </c>
      <c r="D25" s="8">
        <v>1839450.36</v>
      </c>
      <c r="E25" s="8">
        <f>2209789.56-19105.13</f>
        <v>2190684.43</v>
      </c>
      <c r="F25" s="8">
        <v>2298869.79</v>
      </c>
      <c r="G25" s="8">
        <f t="shared" si="5"/>
        <v>108185.35999999987</v>
      </c>
      <c r="H25" s="10">
        <f t="shared" si="6"/>
        <v>0.04938427393670747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12.75">
      <c r="A26" s="7">
        <v>566</v>
      </c>
      <c r="B26" s="5" t="s">
        <v>27</v>
      </c>
      <c r="C26" s="8">
        <v>301477</v>
      </c>
      <c r="D26" s="8">
        <v>373547.18</v>
      </c>
      <c r="E26" s="8">
        <f aca="true" t="shared" si="8" ref="E26:F26">237099+154732</f>
        <v>391831</v>
      </c>
      <c r="F26" s="8">
        <f t="shared" si="8"/>
        <v>391831</v>
      </c>
      <c r="G26" s="8">
        <f t="shared" si="5"/>
        <v>0</v>
      </c>
      <c r="H26" s="10">
        <f t="shared" si="6"/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12.75">
      <c r="A27" s="7">
        <v>500</v>
      </c>
      <c r="B27" s="5" t="s">
        <v>28</v>
      </c>
      <c r="C27" s="8">
        <v>160465.81</v>
      </c>
      <c r="D27" s="8">
        <v>158553.77</v>
      </c>
      <c r="E27" s="8">
        <v>180725</v>
      </c>
      <c r="F27" s="8">
        <v>177700</v>
      </c>
      <c r="G27" s="8">
        <f t="shared" si="5"/>
        <v>-3025</v>
      </c>
      <c r="H27" s="10">
        <f t="shared" si="6"/>
        <v>-0.016738138055056025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12.75">
      <c r="A28" s="7">
        <v>600</v>
      </c>
      <c r="B28" s="5" t="s">
        <v>29</v>
      </c>
      <c r="C28" s="8">
        <v>635496.43</v>
      </c>
      <c r="D28" s="8">
        <v>619848.71</v>
      </c>
      <c r="E28" s="8">
        <v>765865</v>
      </c>
      <c r="F28" s="8">
        <v>775080</v>
      </c>
      <c r="G28" s="8">
        <f t="shared" si="5"/>
        <v>9215</v>
      </c>
      <c r="H28" s="10">
        <f t="shared" si="6"/>
        <v>0.01203214665770077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12.75">
      <c r="A29" s="7">
        <v>700</v>
      </c>
      <c r="B29" s="5" t="s">
        <v>30</v>
      </c>
      <c r="C29" s="8">
        <v>68115.06</v>
      </c>
      <c r="D29" s="8">
        <v>83111.3</v>
      </c>
      <c r="E29" s="8">
        <v>105388</v>
      </c>
      <c r="F29" s="8">
        <v>115648</v>
      </c>
      <c r="G29" s="8">
        <f t="shared" si="5"/>
        <v>10260</v>
      </c>
      <c r="H29" s="10">
        <f t="shared" si="6"/>
        <v>0.09735453751850305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12.75">
      <c r="A30" s="7">
        <v>800</v>
      </c>
      <c r="B30" s="5" t="s">
        <v>31</v>
      </c>
      <c r="C30" s="8">
        <v>193499.64</v>
      </c>
      <c r="D30" s="8">
        <v>175285.42</v>
      </c>
      <c r="E30" s="8">
        <f>358179.72+1500+2200+1500+5000</f>
        <v>368379.72</v>
      </c>
      <c r="F30" s="8">
        <v>377024.96</v>
      </c>
      <c r="G30" s="8">
        <f t="shared" si="5"/>
        <v>8645.240000000049</v>
      </c>
      <c r="H30" s="10">
        <f t="shared" si="6"/>
        <v>0.023468284301861268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2.75">
      <c r="A31" s="7">
        <v>900</v>
      </c>
      <c r="B31" s="5" t="s">
        <v>32</v>
      </c>
      <c r="C31" s="8">
        <v>3500</v>
      </c>
      <c r="D31" s="8">
        <v>86250</v>
      </c>
      <c r="E31" s="8">
        <v>90000</v>
      </c>
      <c r="F31" s="8">
        <v>90000</v>
      </c>
      <c r="G31" s="8">
        <f t="shared" si="5"/>
        <v>0</v>
      </c>
      <c r="H31" s="10">
        <f t="shared" si="6"/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ht="12.75">
      <c r="A32" s="5"/>
      <c r="B32" s="5"/>
      <c r="C32" s="8">
        <f aca="true" t="shared" si="9" ref="C32:G32">SUM(C20:C31)</f>
        <v>12909906.239999998</v>
      </c>
      <c r="D32" s="8">
        <f t="shared" si="9"/>
        <v>12545226.32</v>
      </c>
      <c r="E32" s="8">
        <f t="shared" si="9"/>
        <v>14241241.11</v>
      </c>
      <c r="F32" s="8">
        <f t="shared" si="9"/>
        <v>14707839.030000001</v>
      </c>
      <c r="G32" s="8">
        <f t="shared" si="9"/>
        <v>466597.9200000001</v>
      </c>
      <c r="H32" s="10">
        <f t="shared" si="6"/>
        <v>0.03276385227916418</v>
      </c>
      <c r="I32" s="13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ht="12.75">
      <c r="A33" s="2"/>
      <c r="B33" s="2"/>
      <c r="C33" s="14"/>
      <c r="D33" s="14"/>
      <c r="E33" s="14"/>
      <c r="F33" s="14"/>
      <c r="G33" s="14"/>
      <c r="H33" s="2"/>
      <c r="I33" s="2"/>
      <c r="J33" s="15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ht="12.75">
      <c r="A34" s="2"/>
      <c r="B34" s="2"/>
      <c r="C34" s="14"/>
      <c r="D34" s="14"/>
      <c r="E34" s="14"/>
      <c r="F34" s="16">
        <f>F11/F32</f>
        <v>0.6322558168492547</v>
      </c>
      <c r="G34" s="14" t="s">
        <v>33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ht="12.75">
      <c r="A35" s="2"/>
      <c r="B35" s="2"/>
      <c r="C35" s="14"/>
      <c r="D35" s="14"/>
      <c r="E35" s="14"/>
      <c r="F35" s="14"/>
      <c r="G35" s="14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ht="12.75">
      <c r="A36" s="2"/>
      <c r="B36" s="2"/>
      <c r="C36" s="14"/>
      <c r="D36" s="14"/>
      <c r="E36" s="14"/>
      <c r="F36" s="14"/>
      <c r="G36" s="14"/>
      <c r="H36" s="15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ht="12.75">
      <c r="A37" s="2"/>
      <c r="B37" s="2"/>
      <c r="C37" s="14"/>
      <c r="D37" s="14"/>
      <c r="E37" s="14"/>
      <c r="F37" s="14"/>
      <c r="G37" s="14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28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28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:28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8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:28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28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1:28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1:28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spans="1:28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1:2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1:2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1:2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1:28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1:28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1:28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1:28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pans="1:28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1:28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spans="1:28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pans="1:28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spans="1:28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1:28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1:28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1:28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1:28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1:28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1:28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1:28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1:28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1:28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1:28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1:28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1:28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1:28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1:28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1:28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1:28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1:28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1:28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1:28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1:28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1:28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:28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1:28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1:28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:28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1:28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1:28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1:28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:28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:28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1:28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1:28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1:28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1:28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:28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:28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:28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:28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:28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:28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:28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:28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:28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:28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:28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:28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:28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</sheetData>
  <sheetProtection selectLockedCells="1" selectUnlockedCells="1"/>
  <printOptions gridLines="1" horizontalCentered="1"/>
  <pageMargins left="0.7" right="0.7" top="0.75" bottom="0.75" header="0.5118055555555555" footer="0.5118055555555555"/>
  <pageSetup fitToHeight="0" fitToWidth="1" horizontalDpi="300" verticalDpi="300" orientation="portrait" pageOrder="overThenDown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59"/>
  <sheetViews>
    <sheetView tabSelected="1" workbookViewId="0" topLeftCell="A1">
      <selection activeCell="A1" sqref="A1"/>
    </sheetView>
  </sheetViews>
  <sheetFormatPr defaultColWidth="13.7109375" defaultRowHeight="15.75" customHeight="1"/>
  <cols>
    <col min="1" max="1" width="7.57421875" style="1" customWidth="1"/>
    <col min="2" max="2" width="37.140625" style="1" customWidth="1"/>
    <col min="3" max="16384" width="14.421875" style="1" customWidth="1"/>
  </cols>
  <sheetData>
    <row r="1" spans="1:28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2.75">
      <c r="A3" s="2"/>
      <c r="B3" s="2"/>
      <c r="C3" s="2"/>
      <c r="D3" s="3"/>
      <c r="E3" s="3" t="s">
        <v>0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2.75">
      <c r="A4" s="2"/>
      <c r="B4" s="2"/>
      <c r="C4" s="2"/>
      <c r="D4" s="4"/>
      <c r="E4" s="4" t="s">
        <v>1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2.75">
      <c r="A5" s="2"/>
      <c r="B5" s="2"/>
      <c r="C5" s="2"/>
      <c r="D5" s="3"/>
      <c r="E5" s="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2.75">
      <c r="A7" s="5"/>
      <c r="B7" s="5" t="s">
        <v>34</v>
      </c>
      <c r="C7" s="12" t="s">
        <v>17</v>
      </c>
      <c r="D7" s="12" t="s">
        <v>18</v>
      </c>
      <c r="E7" s="12" t="s">
        <v>19</v>
      </c>
      <c r="F7" s="12" t="s">
        <v>20</v>
      </c>
      <c r="G7" s="11" t="s">
        <v>7</v>
      </c>
      <c r="H7" s="11" t="s">
        <v>8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2.75">
      <c r="A8" s="5"/>
      <c r="B8" s="5" t="s">
        <v>35</v>
      </c>
      <c r="C8" s="8">
        <v>0</v>
      </c>
      <c r="D8" s="8">
        <v>70379.74</v>
      </c>
      <c r="E8" s="8">
        <v>0</v>
      </c>
      <c r="F8" s="8">
        <v>0</v>
      </c>
      <c r="G8" s="8">
        <f aca="true" t="shared" si="0" ref="G8:G10">E8-F8</f>
        <v>0</v>
      </c>
      <c r="H8" s="10">
        <v>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2.75">
      <c r="A9" s="5"/>
      <c r="B9" s="5" t="s">
        <v>36</v>
      </c>
      <c r="C9" s="8">
        <v>0</v>
      </c>
      <c r="D9" s="8">
        <v>0</v>
      </c>
      <c r="E9" s="8">
        <v>0</v>
      </c>
      <c r="F9" s="8">
        <v>600000</v>
      </c>
      <c r="G9" s="8">
        <f t="shared" si="0"/>
        <v>-600000</v>
      </c>
      <c r="H9" s="10">
        <v>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12.75">
      <c r="A10" s="5"/>
      <c r="B10" s="5" t="s">
        <v>25</v>
      </c>
      <c r="C10" s="8">
        <v>111665</v>
      </c>
      <c r="D10" s="8">
        <v>1045440.49</v>
      </c>
      <c r="E10" s="8">
        <f>1190000-70000</f>
        <v>1120000</v>
      </c>
      <c r="F10" s="8">
        <v>992000</v>
      </c>
      <c r="G10" s="8">
        <f t="shared" si="0"/>
        <v>128000</v>
      </c>
      <c r="H10" s="10"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2.75">
      <c r="A11" s="5"/>
      <c r="B11" s="5" t="s">
        <v>37</v>
      </c>
      <c r="C11" s="8">
        <v>5351.66</v>
      </c>
      <c r="D11" s="8">
        <v>528.67</v>
      </c>
      <c r="E11" s="8">
        <v>5000</v>
      </c>
      <c r="F11" s="8">
        <v>1000</v>
      </c>
      <c r="G11" s="8">
        <f aca="true" t="shared" si="1" ref="G11:G24">F11-E11</f>
        <v>-4000</v>
      </c>
      <c r="H11" s="10">
        <f aca="true" t="shared" si="2" ref="H11:H12">G11/E11</f>
        <v>-0.8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2.75">
      <c r="A12" s="5"/>
      <c r="B12" s="5" t="s">
        <v>38</v>
      </c>
      <c r="C12" s="8">
        <v>1376.72</v>
      </c>
      <c r="D12" s="8">
        <v>0</v>
      </c>
      <c r="E12" s="8">
        <v>1300</v>
      </c>
      <c r="F12" s="8">
        <v>1300</v>
      </c>
      <c r="G12" s="8">
        <f t="shared" si="1"/>
        <v>0</v>
      </c>
      <c r="H12" s="10">
        <f t="shared" si="2"/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12.75">
      <c r="A13" s="5"/>
      <c r="B13" s="5" t="s">
        <v>39</v>
      </c>
      <c r="C13" s="8">
        <v>103</v>
      </c>
      <c r="D13" s="8">
        <v>103</v>
      </c>
      <c r="E13" s="8">
        <v>103</v>
      </c>
      <c r="F13" s="8">
        <v>103</v>
      </c>
      <c r="G13" s="8">
        <f t="shared" si="1"/>
        <v>0</v>
      </c>
      <c r="H13" s="10">
        <v>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2.75">
      <c r="A14" s="5"/>
      <c r="B14" s="5" t="s">
        <v>40</v>
      </c>
      <c r="C14" s="8">
        <v>11300</v>
      </c>
      <c r="D14" s="8">
        <v>0</v>
      </c>
      <c r="E14" s="8">
        <v>2500</v>
      </c>
      <c r="F14" s="8">
        <v>2500</v>
      </c>
      <c r="G14" s="8">
        <f t="shared" si="1"/>
        <v>0</v>
      </c>
      <c r="H14" s="10">
        <v>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12.75">
      <c r="A15" s="5"/>
      <c r="B15" s="5" t="s">
        <v>41</v>
      </c>
      <c r="C15" s="8">
        <v>20861.54</v>
      </c>
      <c r="D15" s="8"/>
      <c r="E15" s="8">
        <v>0</v>
      </c>
      <c r="F15" s="8">
        <v>0</v>
      </c>
      <c r="G15" s="8">
        <f t="shared" si="1"/>
        <v>0</v>
      </c>
      <c r="H15" s="10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2.75">
      <c r="A16" s="5"/>
      <c r="B16" s="5" t="s">
        <v>42</v>
      </c>
      <c r="C16" s="8">
        <v>50000</v>
      </c>
      <c r="D16" s="8">
        <v>0</v>
      </c>
      <c r="E16" s="8">
        <v>0</v>
      </c>
      <c r="F16" s="8">
        <v>0</v>
      </c>
      <c r="G16" s="8">
        <f t="shared" si="1"/>
        <v>0</v>
      </c>
      <c r="H16" s="10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2.75">
      <c r="A17" s="5"/>
      <c r="B17" s="5" t="s">
        <v>43</v>
      </c>
      <c r="C17" s="8">
        <v>4282.56</v>
      </c>
      <c r="D17" s="8">
        <f>1005+2776.85+100</f>
        <v>3881.85</v>
      </c>
      <c r="E17" s="8">
        <v>6500</v>
      </c>
      <c r="F17" s="8">
        <v>6500</v>
      </c>
      <c r="G17" s="8">
        <f t="shared" si="1"/>
        <v>0</v>
      </c>
      <c r="H17" s="10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12.75">
      <c r="A18" s="5"/>
      <c r="B18" s="5" t="s">
        <v>44</v>
      </c>
      <c r="C18" s="8">
        <v>669</v>
      </c>
      <c r="D18" s="8">
        <v>3663</v>
      </c>
      <c r="E18" s="8">
        <v>0</v>
      </c>
      <c r="F18" s="8">
        <v>0</v>
      </c>
      <c r="G18" s="8">
        <f t="shared" si="1"/>
        <v>0</v>
      </c>
      <c r="H18" s="10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2.75">
      <c r="A19" s="5"/>
      <c r="B19" s="5" t="s">
        <v>45</v>
      </c>
      <c r="C19" s="8">
        <v>11315807</v>
      </c>
      <c r="D19" s="8">
        <v>11589952.26</v>
      </c>
      <c r="E19" s="8">
        <f>11737116+5970-956.17-6844-19105.13-8706.93+92</f>
        <v>11707565.77</v>
      </c>
      <c r="F19" s="8">
        <v>12378854.03</v>
      </c>
      <c r="G19" s="8">
        <f t="shared" si="1"/>
        <v>671288.2599999998</v>
      </c>
      <c r="H19" s="10">
        <f>G19/I19</f>
        <v>0.05320986482045925</v>
      </c>
      <c r="I19" s="14">
        <f>F19+F20</f>
        <v>12615861.03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2.75">
      <c r="A20" s="5"/>
      <c r="B20" s="5" t="s">
        <v>46</v>
      </c>
      <c r="C20" s="8">
        <v>182870</v>
      </c>
      <c r="D20" s="8">
        <v>225958</v>
      </c>
      <c r="E20" s="8">
        <f>225958+11141-92</f>
        <v>237007</v>
      </c>
      <c r="F20" s="8">
        <v>237007</v>
      </c>
      <c r="G20" s="8">
        <f t="shared" si="1"/>
        <v>0</v>
      </c>
      <c r="H20" s="10">
        <f>G20/E20</f>
        <v>0</v>
      </c>
      <c r="I20" s="2">
        <v>686.84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2.75">
      <c r="A21" s="5"/>
      <c r="B21" s="5" t="s">
        <v>47</v>
      </c>
      <c r="C21" s="8">
        <v>1410</v>
      </c>
      <c r="D21" s="8">
        <v>0</v>
      </c>
      <c r="E21" s="8">
        <v>0</v>
      </c>
      <c r="F21" s="8">
        <v>0</v>
      </c>
      <c r="G21" s="8">
        <f t="shared" si="1"/>
        <v>0</v>
      </c>
      <c r="H21" s="10">
        <v>0</v>
      </c>
      <c r="I21" s="14">
        <f>I19/I20</f>
        <v>18367.976573874555</v>
      </c>
      <c r="J21" s="2"/>
      <c r="K21" s="14">
        <v>18789</v>
      </c>
      <c r="L21" s="2" t="s">
        <v>48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12.75">
      <c r="A22" s="5"/>
      <c r="B22" s="5" t="s">
        <v>49</v>
      </c>
      <c r="C22" s="8">
        <v>52772</v>
      </c>
      <c r="D22" s="8">
        <v>52772</v>
      </c>
      <c r="E22" s="8">
        <v>52772</v>
      </c>
      <c r="F22" s="8">
        <v>52772</v>
      </c>
      <c r="G22" s="8">
        <f t="shared" si="1"/>
        <v>0</v>
      </c>
      <c r="H22" s="10">
        <f>G22/E22</f>
        <v>0</v>
      </c>
      <c r="I22" s="13"/>
      <c r="J22" s="2"/>
      <c r="K22" s="14">
        <v>17421</v>
      </c>
      <c r="L22" s="2" t="s">
        <v>50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12.75">
      <c r="A23" s="5"/>
      <c r="B23" s="5" t="s">
        <v>51</v>
      </c>
      <c r="C23" s="8">
        <v>14924</v>
      </c>
      <c r="D23" s="8">
        <v>6718</v>
      </c>
      <c r="E23" s="8">
        <v>3500</v>
      </c>
      <c r="F23" s="8">
        <v>3500</v>
      </c>
      <c r="G23" s="8">
        <f t="shared" si="1"/>
        <v>0</v>
      </c>
      <c r="H23" s="10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2.75">
      <c r="A24" s="5"/>
      <c r="B24" s="5" t="s">
        <v>52</v>
      </c>
      <c r="C24" s="8">
        <v>5346.84</v>
      </c>
      <c r="D24" s="8">
        <v>9046.67</v>
      </c>
      <c r="E24" s="8">
        <v>5500</v>
      </c>
      <c r="F24" s="8">
        <v>9000</v>
      </c>
      <c r="G24" s="8">
        <f t="shared" si="1"/>
        <v>3500</v>
      </c>
      <c r="H24" s="10">
        <f>G24/E24</f>
        <v>0.6363636363636364</v>
      </c>
      <c r="I24" s="2"/>
      <c r="J24" s="2"/>
      <c r="K24" s="13"/>
      <c r="L24" s="2" t="s">
        <v>3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2.75">
      <c r="A25" s="5"/>
      <c r="B25" s="5" t="s">
        <v>53</v>
      </c>
      <c r="C25" s="8">
        <v>0</v>
      </c>
      <c r="D25" s="8">
        <v>4060.22</v>
      </c>
      <c r="E25" s="8">
        <v>0</v>
      </c>
      <c r="F25" s="8">
        <v>0</v>
      </c>
      <c r="G25" s="8"/>
      <c r="H25" s="10"/>
      <c r="I25" s="2"/>
      <c r="J25" s="2"/>
      <c r="K25" s="13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12.75">
      <c r="A26" s="5"/>
      <c r="B26" s="5" t="s">
        <v>54</v>
      </c>
      <c r="C26" s="8">
        <v>166000</v>
      </c>
      <c r="D26" s="8">
        <v>92222.2</v>
      </c>
      <c r="E26" s="8">
        <v>122000</v>
      </c>
      <c r="F26" s="8">
        <v>122000</v>
      </c>
      <c r="G26" s="8">
        <f aca="true" t="shared" si="3" ref="G26:G29">F26-E26</f>
        <v>0</v>
      </c>
      <c r="H26" s="10">
        <f>G26/E26</f>
        <v>0</v>
      </c>
      <c r="I26" s="2"/>
      <c r="J26" s="2"/>
      <c r="K26" s="13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12.75">
      <c r="A27" s="5"/>
      <c r="B27" s="5" t="s">
        <v>55</v>
      </c>
      <c r="C27" s="8">
        <v>18357</v>
      </c>
      <c r="D27" s="8">
        <v>0</v>
      </c>
      <c r="E27" s="8">
        <v>0</v>
      </c>
      <c r="F27" s="8">
        <v>0</v>
      </c>
      <c r="G27" s="8">
        <f t="shared" si="3"/>
        <v>0</v>
      </c>
      <c r="H27" s="10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12.75">
      <c r="A28" s="5"/>
      <c r="B28" s="5" t="s">
        <v>56</v>
      </c>
      <c r="C28" s="8">
        <v>369.24</v>
      </c>
      <c r="D28" s="8">
        <v>0</v>
      </c>
      <c r="E28" s="8">
        <v>0</v>
      </c>
      <c r="F28" s="8">
        <v>0</v>
      </c>
      <c r="G28" s="8">
        <f t="shared" si="3"/>
        <v>0</v>
      </c>
      <c r="H28" s="10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12.75">
      <c r="A29" s="5"/>
      <c r="B29" s="5" t="s">
        <v>57</v>
      </c>
      <c r="C29" s="8">
        <v>675</v>
      </c>
      <c r="D29" s="8">
        <v>0</v>
      </c>
      <c r="E29" s="8">
        <v>0</v>
      </c>
      <c r="F29" s="8">
        <v>0</v>
      </c>
      <c r="G29" s="8">
        <f t="shared" si="3"/>
        <v>0</v>
      </c>
      <c r="H29" s="10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12.75">
      <c r="A30" s="5"/>
      <c r="B30" s="5" t="s">
        <v>58</v>
      </c>
      <c r="C30" s="8">
        <v>8150</v>
      </c>
      <c r="D30" s="8">
        <v>34379.77</v>
      </c>
      <c r="E30" s="8"/>
      <c r="F30" s="8"/>
      <c r="G30" s="8"/>
      <c r="H30" s="10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2.75">
      <c r="A31" s="5"/>
      <c r="B31" s="5" t="s">
        <v>59</v>
      </c>
      <c r="C31" s="8">
        <v>4350.4</v>
      </c>
      <c r="D31" s="8">
        <v>6893.5</v>
      </c>
      <c r="E31" s="8">
        <v>0</v>
      </c>
      <c r="F31" s="8">
        <v>0</v>
      </c>
      <c r="G31" s="8">
        <f aca="true" t="shared" si="4" ref="G31:G37">F31-E31</f>
        <v>0</v>
      </c>
      <c r="H31" s="10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ht="12.75">
      <c r="A32" s="5"/>
      <c r="B32" s="5" t="s">
        <v>60</v>
      </c>
      <c r="C32" s="8">
        <v>2603.1</v>
      </c>
      <c r="D32" s="8">
        <v>21909.55</v>
      </c>
      <c r="E32" s="8">
        <v>0</v>
      </c>
      <c r="F32" s="8">
        <v>0</v>
      </c>
      <c r="G32" s="8">
        <f t="shared" si="4"/>
        <v>0</v>
      </c>
      <c r="H32" s="10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ht="12.75">
      <c r="A33" s="5"/>
      <c r="B33" s="5" t="s">
        <v>61</v>
      </c>
      <c r="C33" s="8">
        <f>43637.6+1893.8+3206.97+1949.5+2906.27+795.44+1561.6+87103.18+1230.46+13414.43+71200.43+19255.41+456.3+18501.82</f>
        <v>267113.20999999996</v>
      </c>
      <c r="D33" s="8">
        <f>260.85+1368.1+757.05+2192.53+570.65+234423.47+21640.27</f>
        <v>261212.91999999998</v>
      </c>
      <c r="E33" s="8">
        <v>267366</v>
      </c>
      <c r="F33" s="8">
        <f>50000+6500+7000+4800+2200+576+3077+137000+39000+1040</f>
        <v>251193</v>
      </c>
      <c r="G33" s="8">
        <f t="shared" si="4"/>
        <v>-16173</v>
      </c>
      <c r="H33" s="10">
        <f aca="true" t="shared" si="5" ref="H33:H34">G33/E33</f>
        <v>-0.06049011467426674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ht="12.75">
      <c r="A34" s="5"/>
      <c r="B34" s="5" t="s">
        <v>62</v>
      </c>
      <c r="C34" s="8">
        <v>31847.89</v>
      </c>
      <c r="D34" s="8">
        <v>44761.83</v>
      </c>
      <c r="E34" s="8">
        <v>31799</v>
      </c>
      <c r="F34" s="8">
        <v>50110</v>
      </c>
      <c r="G34" s="8">
        <f t="shared" si="4"/>
        <v>18311</v>
      </c>
      <c r="H34" s="10">
        <f t="shared" si="5"/>
        <v>0.5758357181043429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ht="12.75">
      <c r="A35" s="5"/>
      <c r="B35" s="5" t="s">
        <v>63</v>
      </c>
      <c r="C35" s="8">
        <v>5248.25</v>
      </c>
      <c r="D35" s="8">
        <v>5257.96</v>
      </c>
      <c r="E35" s="8">
        <v>0</v>
      </c>
      <c r="F35" s="8">
        <v>0</v>
      </c>
      <c r="G35" s="8">
        <f t="shared" si="4"/>
        <v>0</v>
      </c>
      <c r="H35" s="7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ht="12.75">
      <c r="A36" s="5"/>
      <c r="B36" s="5" t="s">
        <v>64</v>
      </c>
      <c r="C36" s="8">
        <v>629277.09</v>
      </c>
      <c r="D36" s="8">
        <f>3636.86+452763+21411.94</f>
        <v>477811.8</v>
      </c>
      <c r="E36" s="8">
        <v>678328</v>
      </c>
      <c r="F36" s="8">
        <v>0</v>
      </c>
      <c r="G36" s="8">
        <f t="shared" si="4"/>
        <v>-678328</v>
      </c>
      <c r="H36" s="10">
        <f aca="true" t="shared" si="6" ref="H36:H37">G36/E36</f>
        <v>-1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ht="12.75">
      <c r="A37" s="5"/>
      <c r="B37" s="5"/>
      <c r="C37" s="8">
        <f>SUM(C10:C36)</f>
        <v>12912730.5</v>
      </c>
      <c r="D37" s="8">
        <f>SUM(D8:D36)</f>
        <v>13956953.430000002</v>
      </c>
      <c r="E37" s="8">
        <f>SUM(E10:E36)</f>
        <v>14241240.77</v>
      </c>
      <c r="F37" s="8">
        <f>SUM(F8:F36)</f>
        <v>14707839.03</v>
      </c>
      <c r="G37" s="8">
        <f t="shared" si="4"/>
        <v>466598.2599999998</v>
      </c>
      <c r="H37" s="17">
        <f t="shared" si="6"/>
        <v>0.03276387693570325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ht="12.75">
      <c r="A38" s="2"/>
      <c r="B38" s="2"/>
      <c r="C38" s="2"/>
      <c r="D38" s="2"/>
      <c r="E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ht="12.75">
      <c r="A39" s="2"/>
      <c r="B39" s="2" t="s">
        <v>65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ht="12.75">
      <c r="A40" s="5"/>
      <c r="B40" s="11" t="s">
        <v>16</v>
      </c>
      <c r="C40" s="12" t="s">
        <v>17</v>
      </c>
      <c r="D40" s="12" t="s">
        <v>18</v>
      </c>
      <c r="E40" s="12" t="s">
        <v>19</v>
      </c>
      <c r="F40" s="12" t="s">
        <v>20</v>
      </c>
      <c r="G40" s="11" t="s">
        <v>7</v>
      </c>
      <c r="H40" s="12" t="s">
        <v>21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ht="12.75">
      <c r="A41" s="5"/>
      <c r="B41" s="5"/>
      <c r="C41" s="5"/>
      <c r="D41" s="5"/>
      <c r="E41" s="5"/>
      <c r="F41" s="5"/>
      <c r="G41" s="5"/>
      <c r="H41" s="5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ht="12.75">
      <c r="A42" s="7">
        <v>100</v>
      </c>
      <c r="B42" s="5" t="s">
        <v>22</v>
      </c>
      <c r="C42" s="8">
        <v>0</v>
      </c>
      <c r="D42" s="8">
        <v>0</v>
      </c>
      <c r="E42" s="8">
        <v>0</v>
      </c>
      <c r="F42" s="8">
        <v>0</v>
      </c>
      <c r="G42" s="8">
        <f aca="true" t="shared" si="7" ref="G42:G53">F42-E42</f>
        <v>0</v>
      </c>
      <c r="H42" s="10">
        <v>0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ht="12.75">
      <c r="A43" s="7">
        <v>200</v>
      </c>
      <c r="B43" s="5" t="s">
        <v>10</v>
      </c>
      <c r="C43" s="8">
        <v>0</v>
      </c>
      <c r="D43" s="8">
        <v>0</v>
      </c>
      <c r="E43" s="8">
        <v>0</v>
      </c>
      <c r="F43" s="8">
        <v>0</v>
      </c>
      <c r="G43" s="8">
        <f t="shared" si="7"/>
        <v>0</v>
      </c>
      <c r="H43" s="10">
        <v>0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ht="12.75">
      <c r="A44" s="7">
        <v>300</v>
      </c>
      <c r="B44" s="5" t="s">
        <v>23</v>
      </c>
      <c r="C44" s="8">
        <v>0</v>
      </c>
      <c r="D44" s="8">
        <v>0</v>
      </c>
      <c r="E44" s="8">
        <v>0</v>
      </c>
      <c r="F44" s="8">
        <v>0</v>
      </c>
      <c r="G44" s="8">
        <f t="shared" si="7"/>
        <v>0</v>
      </c>
      <c r="H44" s="10">
        <v>0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ht="12.75">
      <c r="A45" s="7">
        <v>400</v>
      </c>
      <c r="B45" s="5" t="s">
        <v>24</v>
      </c>
      <c r="C45" s="8">
        <v>0</v>
      </c>
      <c r="D45" s="8">
        <v>0</v>
      </c>
      <c r="E45" s="8">
        <v>0</v>
      </c>
      <c r="F45" s="8">
        <v>0</v>
      </c>
      <c r="G45" s="8">
        <f t="shared" si="7"/>
        <v>0</v>
      </c>
      <c r="H45" s="10">
        <v>0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ht="12.75">
      <c r="A46" s="7">
        <v>561</v>
      </c>
      <c r="B46" s="5" t="s">
        <v>25</v>
      </c>
      <c r="C46" s="8">
        <v>0</v>
      </c>
      <c r="D46" s="8">
        <v>0</v>
      </c>
      <c r="E46" s="8">
        <v>0</v>
      </c>
      <c r="F46" s="8">
        <v>0</v>
      </c>
      <c r="G46" s="8">
        <f t="shared" si="7"/>
        <v>0</v>
      </c>
      <c r="H46" s="10">
        <v>0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ht="12.75">
      <c r="A47" s="7">
        <v>593</v>
      </c>
      <c r="B47" s="5" t="s">
        <v>26</v>
      </c>
      <c r="C47" s="8">
        <v>0</v>
      </c>
      <c r="D47" s="8">
        <v>0</v>
      </c>
      <c r="E47" s="8">
        <v>0</v>
      </c>
      <c r="F47" s="8">
        <v>0</v>
      </c>
      <c r="G47" s="8">
        <f t="shared" si="7"/>
        <v>0</v>
      </c>
      <c r="H47" s="10">
        <v>0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ht="12.75">
      <c r="A48" s="7">
        <v>566</v>
      </c>
      <c r="B48" s="5" t="s">
        <v>27</v>
      </c>
      <c r="C48" s="8">
        <v>0</v>
      </c>
      <c r="D48" s="8">
        <v>0</v>
      </c>
      <c r="E48" s="8">
        <v>0</v>
      </c>
      <c r="F48" s="8">
        <v>0</v>
      </c>
      <c r="G48" s="8">
        <f t="shared" si="7"/>
        <v>0</v>
      </c>
      <c r="H48" s="10">
        <v>0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ht="12.75">
      <c r="A49" s="7">
        <v>500</v>
      </c>
      <c r="B49" s="5" t="s">
        <v>28</v>
      </c>
      <c r="C49" s="8">
        <v>0</v>
      </c>
      <c r="D49" s="8">
        <v>0</v>
      </c>
      <c r="E49" s="8">
        <v>0</v>
      </c>
      <c r="F49" s="8">
        <v>0</v>
      </c>
      <c r="G49" s="8">
        <f t="shared" si="7"/>
        <v>0</v>
      </c>
      <c r="H49" s="10">
        <v>0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ht="12.75">
      <c r="A50" s="7">
        <v>600</v>
      </c>
      <c r="B50" s="5" t="s">
        <v>29</v>
      </c>
      <c r="C50" s="8">
        <v>0</v>
      </c>
      <c r="D50" s="8">
        <v>0</v>
      </c>
      <c r="E50" s="8">
        <v>0</v>
      </c>
      <c r="F50" s="8">
        <v>0</v>
      </c>
      <c r="G50" s="8">
        <f t="shared" si="7"/>
        <v>0</v>
      </c>
      <c r="H50" s="10">
        <v>0</v>
      </c>
      <c r="I50" s="15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ht="12.75">
      <c r="A51" s="7">
        <v>700</v>
      </c>
      <c r="B51" s="5" t="s">
        <v>30</v>
      </c>
      <c r="C51" s="8">
        <v>0</v>
      </c>
      <c r="D51" s="8">
        <v>0</v>
      </c>
      <c r="E51" s="8">
        <v>0</v>
      </c>
      <c r="F51" s="8">
        <v>0</v>
      </c>
      <c r="G51" s="8">
        <f t="shared" si="7"/>
        <v>0</v>
      </c>
      <c r="H51" s="10">
        <v>0</v>
      </c>
      <c r="I51" s="15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ht="12.75">
      <c r="A52" s="7">
        <v>800</v>
      </c>
      <c r="B52" s="5" t="s">
        <v>31</v>
      </c>
      <c r="C52" s="8">
        <v>173081.89</v>
      </c>
      <c r="D52" s="8">
        <v>160265.79</v>
      </c>
      <c r="E52" s="8">
        <v>158791.98</v>
      </c>
      <c r="F52" s="8">
        <v>157728.96</v>
      </c>
      <c r="G52" s="8">
        <f t="shared" si="7"/>
        <v>-1063.0200000000186</v>
      </c>
      <c r="H52" s="10">
        <f>G52/E52</f>
        <v>-0.0066944186979721425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ht="12.75">
      <c r="A53" s="7">
        <v>900</v>
      </c>
      <c r="B53" s="5" t="s">
        <v>32</v>
      </c>
      <c r="C53" s="8">
        <v>0</v>
      </c>
      <c r="D53" s="8">
        <v>0</v>
      </c>
      <c r="E53" s="8">
        <v>0</v>
      </c>
      <c r="F53" s="8">
        <v>0</v>
      </c>
      <c r="G53" s="8">
        <f t="shared" si="7"/>
        <v>0</v>
      </c>
      <c r="H53" s="10">
        <v>0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ht="12.75">
      <c r="A54" s="5"/>
      <c r="B54" s="5"/>
      <c r="C54" s="8">
        <f aca="true" t="shared" si="8" ref="C54:G54">SUM(C42:C53)</f>
        <v>173081.89</v>
      </c>
      <c r="D54" s="8">
        <f t="shared" si="8"/>
        <v>160265.79</v>
      </c>
      <c r="E54" s="8">
        <f t="shared" si="8"/>
        <v>158791.98</v>
      </c>
      <c r="F54" s="8">
        <f t="shared" si="8"/>
        <v>157728.96</v>
      </c>
      <c r="G54" s="8">
        <f t="shared" si="8"/>
        <v>-1063.0200000000186</v>
      </c>
      <c r="H54" s="10">
        <f>G54/E54</f>
        <v>-0.0066944186979721425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ht="12.75">
      <c r="A55" s="2"/>
      <c r="B55" s="2"/>
      <c r="C55" s="14"/>
      <c r="D55" s="14"/>
      <c r="E55" s="14"/>
      <c r="F55" s="14"/>
      <c r="G55" s="14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 ht="12.75">
      <c r="A56" s="2"/>
      <c r="B56" s="2"/>
      <c r="C56" s="14"/>
      <c r="D56" s="14"/>
      <c r="E56" s="14"/>
      <c r="F56" s="14"/>
      <c r="G56" s="14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ht="12.75">
      <c r="A57" s="2"/>
      <c r="B57" s="2" t="s">
        <v>66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 ht="12.75">
      <c r="A58" s="5"/>
      <c r="B58" s="11" t="s">
        <v>16</v>
      </c>
      <c r="C58" s="12" t="s">
        <v>17</v>
      </c>
      <c r="D58" s="12" t="s">
        <v>18</v>
      </c>
      <c r="E58" s="12" t="s">
        <v>19</v>
      </c>
      <c r="F58" s="12" t="s">
        <v>20</v>
      </c>
      <c r="G58" s="11" t="s">
        <v>7</v>
      </c>
      <c r="H58" s="12" t="s">
        <v>21</v>
      </c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 ht="12.75">
      <c r="A59" s="5"/>
      <c r="B59" s="5"/>
      <c r="C59" s="5"/>
      <c r="D59" s="5"/>
      <c r="E59" s="5"/>
      <c r="F59" s="5"/>
      <c r="G59" s="5"/>
      <c r="H59" s="5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 ht="12.75">
      <c r="A60" s="7">
        <v>100</v>
      </c>
      <c r="B60" s="5" t="s">
        <v>22</v>
      </c>
      <c r="C60" s="8">
        <v>30367.5</v>
      </c>
      <c r="D60" s="8">
        <v>31067.5</v>
      </c>
      <c r="E60" s="8">
        <v>31913</v>
      </c>
      <c r="F60" s="8">
        <v>31913</v>
      </c>
      <c r="G60" s="8">
        <f aca="true" t="shared" si="9" ref="G60:G71">F60-E60</f>
        <v>0</v>
      </c>
      <c r="H60" s="10">
        <f aca="true" t="shared" si="10" ref="H60:H61">G60/E60</f>
        <v>0</v>
      </c>
      <c r="I60" s="2" t="s">
        <v>67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ht="12.75">
      <c r="A61" s="7">
        <v>200</v>
      </c>
      <c r="B61" s="5" t="s">
        <v>10</v>
      </c>
      <c r="C61" s="8">
        <v>5822.58</v>
      </c>
      <c r="D61" s="8">
        <v>7443.49</v>
      </c>
      <c r="E61" s="8">
        <v>7636.63</v>
      </c>
      <c r="F61" s="8">
        <v>7982.13</v>
      </c>
      <c r="G61" s="8">
        <f t="shared" si="9"/>
        <v>345.5</v>
      </c>
      <c r="H61" s="10">
        <f t="shared" si="10"/>
        <v>0.04524246951862274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ht="12.75">
      <c r="A62" s="7">
        <v>300</v>
      </c>
      <c r="B62" s="5" t="s">
        <v>23</v>
      </c>
      <c r="C62" s="8">
        <v>0</v>
      </c>
      <c r="D62" s="8">
        <v>0</v>
      </c>
      <c r="E62" s="8">
        <v>0</v>
      </c>
      <c r="F62" s="8">
        <v>0</v>
      </c>
      <c r="G62" s="8">
        <f t="shared" si="9"/>
        <v>0</v>
      </c>
      <c r="H62" s="10">
        <v>0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ht="12.75">
      <c r="A63" s="7">
        <v>400</v>
      </c>
      <c r="B63" s="5" t="s">
        <v>24</v>
      </c>
      <c r="C63" s="8">
        <v>0</v>
      </c>
      <c r="D63" s="8">
        <v>0</v>
      </c>
      <c r="E63" s="8">
        <v>0</v>
      </c>
      <c r="F63" s="8">
        <v>0</v>
      </c>
      <c r="G63" s="8">
        <f t="shared" si="9"/>
        <v>0</v>
      </c>
      <c r="H63" s="10">
        <v>0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ht="12.75">
      <c r="A64" s="7">
        <v>561</v>
      </c>
      <c r="B64" s="5" t="s">
        <v>25</v>
      </c>
      <c r="C64" s="8">
        <v>188495.33</v>
      </c>
      <c r="D64" s="8">
        <v>117494.22</v>
      </c>
      <c r="E64" s="8">
        <v>212160</v>
      </c>
      <c r="F64" s="8">
        <v>176800</v>
      </c>
      <c r="G64" s="8">
        <f t="shared" si="9"/>
        <v>-35360</v>
      </c>
      <c r="H64" s="10">
        <f>G64/E64</f>
        <v>-0.16666666666666666</v>
      </c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ht="12.75">
      <c r="A65" s="7">
        <v>593</v>
      </c>
      <c r="B65" s="5" t="s">
        <v>26</v>
      </c>
      <c r="C65" s="8">
        <v>0</v>
      </c>
      <c r="D65" s="8">
        <v>0</v>
      </c>
      <c r="E65" s="8">
        <v>0</v>
      </c>
      <c r="F65" s="8">
        <v>0</v>
      </c>
      <c r="G65" s="8">
        <f t="shared" si="9"/>
        <v>0</v>
      </c>
      <c r="H65" s="10">
        <v>0</v>
      </c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 ht="12.75">
      <c r="A66" s="7">
        <v>566</v>
      </c>
      <c r="B66" s="5" t="s">
        <v>27</v>
      </c>
      <c r="C66" s="8">
        <v>0</v>
      </c>
      <c r="D66" s="8">
        <v>0</v>
      </c>
      <c r="E66" s="8">
        <v>0</v>
      </c>
      <c r="F66" s="8">
        <v>0</v>
      </c>
      <c r="G66" s="8">
        <f t="shared" si="9"/>
        <v>0</v>
      </c>
      <c r="H66" s="10">
        <v>0</v>
      </c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ht="12.75">
      <c r="A67" s="7">
        <v>500</v>
      </c>
      <c r="B67" s="5" t="s">
        <v>28</v>
      </c>
      <c r="C67" s="8">
        <v>500.58</v>
      </c>
      <c r="D67" s="8">
        <f>228.77</f>
        <v>228.77</v>
      </c>
      <c r="E67" s="8">
        <v>1300</v>
      </c>
      <c r="F67" s="8">
        <v>1300</v>
      </c>
      <c r="G67" s="8">
        <f t="shared" si="9"/>
        <v>0</v>
      </c>
      <c r="H67" s="10">
        <v>0</v>
      </c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28" ht="12.75">
      <c r="A68" s="7">
        <v>600</v>
      </c>
      <c r="B68" s="5" t="s">
        <v>29</v>
      </c>
      <c r="C68" s="8">
        <v>821.01</v>
      </c>
      <c r="D68" s="8">
        <v>456.89</v>
      </c>
      <c r="E68" s="8">
        <v>1000</v>
      </c>
      <c r="F68" s="8">
        <v>1000</v>
      </c>
      <c r="G68" s="8">
        <f t="shared" si="9"/>
        <v>0</v>
      </c>
      <c r="H68" s="10">
        <f>G68/E68</f>
        <v>0</v>
      </c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 ht="12.75">
      <c r="A69" s="7">
        <v>700</v>
      </c>
      <c r="B69" s="5" t="s">
        <v>30</v>
      </c>
      <c r="C69" s="8">
        <v>0</v>
      </c>
      <c r="D69" s="8">
        <v>0</v>
      </c>
      <c r="E69" s="8">
        <v>0</v>
      </c>
      <c r="F69" s="8">
        <v>0</v>
      </c>
      <c r="G69" s="8">
        <f t="shared" si="9"/>
        <v>0</v>
      </c>
      <c r="H69" s="10">
        <v>0</v>
      </c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28" ht="12.75">
      <c r="A70" s="7">
        <v>800</v>
      </c>
      <c r="B70" s="5" t="s">
        <v>31</v>
      </c>
      <c r="C70" s="8">
        <v>0</v>
      </c>
      <c r="D70" s="8">
        <v>0</v>
      </c>
      <c r="E70" s="8">
        <v>0</v>
      </c>
      <c r="F70" s="8">
        <v>0</v>
      </c>
      <c r="G70" s="8">
        <f t="shared" si="9"/>
        <v>0</v>
      </c>
      <c r="H70" s="10">
        <v>0</v>
      </c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:28" ht="12.75">
      <c r="A71" s="7">
        <v>900</v>
      </c>
      <c r="B71" s="5" t="s">
        <v>32</v>
      </c>
      <c r="C71" s="8">
        <v>0</v>
      </c>
      <c r="D71" s="8">
        <v>0</v>
      </c>
      <c r="E71" s="8">
        <v>0</v>
      </c>
      <c r="F71" s="8">
        <v>0</v>
      </c>
      <c r="G71" s="8">
        <f t="shared" si="9"/>
        <v>0</v>
      </c>
      <c r="H71" s="10">
        <v>0</v>
      </c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 ht="12.75">
      <c r="A72" s="5"/>
      <c r="B72" s="5"/>
      <c r="C72" s="8">
        <f aca="true" t="shared" si="11" ref="C72:G72">SUM(C60:C71)</f>
        <v>226006.99999999997</v>
      </c>
      <c r="D72" s="8">
        <f t="shared" si="11"/>
        <v>156690.87</v>
      </c>
      <c r="E72" s="8">
        <f t="shared" si="11"/>
        <v>254009.63</v>
      </c>
      <c r="F72" s="8">
        <f t="shared" si="11"/>
        <v>218995.13</v>
      </c>
      <c r="G72" s="8">
        <f t="shared" si="11"/>
        <v>-35014.5</v>
      </c>
      <c r="H72" s="10">
        <f>G72/E72</f>
        <v>-0.1378471359530739</v>
      </c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 ht="12.75">
      <c r="A75" s="2"/>
      <c r="B75" s="2" t="s">
        <v>68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8" ht="12.75">
      <c r="A76" s="5"/>
      <c r="B76" s="11" t="s">
        <v>16</v>
      </c>
      <c r="C76" s="12" t="s">
        <v>17</v>
      </c>
      <c r="D76" s="12" t="s">
        <v>18</v>
      </c>
      <c r="E76" s="12" t="s">
        <v>19</v>
      </c>
      <c r="F76" s="12" t="s">
        <v>20</v>
      </c>
      <c r="G76" s="11" t="s">
        <v>7</v>
      </c>
      <c r="H76" s="12" t="s">
        <v>21</v>
      </c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:28" ht="12.75">
      <c r="A77" s="5"/>
      <c r="B77" s="5"/>
      <c r="C77" s="5"/>
      <c r="D77" s="5"/>
      <c r="E77" s="5"/>
      <c r="F77" s="5"/>
      <c r="G77" s="5"/>
      <c r="H77" s="5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28" ht="12.75">
      <c r="A78" s="7">
        <v>100</v>
      </c>
      <c r="B78" s="5" t="s">
        <v>22</v>
      </c>
      <c r="C78" s="8">
        <f>1598423.3+30311+3585+4454.5</f>
        <v>1636773.8</v>
      </c>
      <c r="D78" s="8">
        <f>1732773.9+37889.06</f>
        <v>1770662.96</v>
      </c>
      <c r="E78" s="8">
        <f>1729729.6+37889+750+4385+7485</f>
        <v>1780238.6</v>
      </c>
      <c r="F78" s="8">
        <v>1839451.48</v>
      </c>
      <c r="G78" s="8">
        <f aca="true" t="shared" si="12" ref="G78:G89">F78-E78</f>
        <v>59212.87999999989</v>
      </c>
      <c r="H78" s="10">
        <f aca="true" t="shared" si="13" ref="H78:H82">G78/E78</f>
        <v>0.0332612044250697</v>
      </c>
      <c r="I78" s="2" t="s">
        <v>69</v>
      </c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1:28" ht="12.75">
      <c r="A79" s="7">
        <v>200</v>
      </c>
      <c r="B79" s="5" t="s">
        <v>10</v>
      </c>
      <c r="C79" s="8">
        <f>507759.09+2319+1367+55+182+677.89</f>
        <v>512359.98000000004</v>
      </c>
      <c r="D79" s="8">
        <f>591678.17+3232.03</f>
        <v>594910.2000000001</v>
      </c>
      <c r="E79" s="8">
        <f>629534.89+1061</f>
        <v>630595.89</v>
      </c>
      <c r="F79" s="8">
        <v>689654.62</v>
      </c>
      <c r="G79" s="8">
        <f t="shared" si="12"/>
        <v>59058.72999999998</v>
      </c>
      <c r="H79" s="10">
        <f t="shared" si="13"/>
        <v>0.0936554312144343</v>
      </c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1:28" ht="12.75">
      <c r="A80" s="7">
        <v>300</v>
      </c>
      <c r="B80" s="5" t="s">
        <v>23</v>
      </c>
      <c r="C80" s="8">
        <f>1189.12+18000+5000</f>
        <v>24189.12</v>
      </c>
      <c r="D80" s="8">
        <v>14540.31</v>
      </c>
      <c r="E80" s="8">
        <f>12650+2500</f>
        <v>15150</v>
      </c>
      <c r="F80" s="8">
        <v>16650</v>
      </c>
      <c r="G80" s="8">
        <f t="shared" si="12"/>
        <v>1500</v>
      </c>
      <c r="H80" s="10">
        <f t="shared" si="13"/>
        <v>0.09900990099009901</v>
      </c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spans="1:28" ht="12.75">
      <c r="A81" s="7">
        <v>400</v>
      </c>
      <c r="B81" s="5" t="s">
        <v>24</v>
      </c>
      <c r="C81" s="8">
        <v>988.07</v>
      </c>
      <c r="D81" s="8">
        <v>2190.41</v>
      </c>
      <c r="E81" s="8">
        <v>2900</v>
      </c>
      <c r="F81" s="8">
        <v>2900</v>
      </c>
      <c r="G81" s="8">
        <f t="shared" si="12"/>
        <v>0</v>
      </c>
      <c r="H81" s="10">
        <f t="shared" si="13"/>
        <v>0</v>
      </c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1:28" ht="12.75">
      <c r="A82" s="7">
        <v>561</v>
      </c>
      <c r="B82" s="5" t="s">
        <v>25</v>
      </c>
      <c r="C82" s="8">
        <v>103598</v>
      </c>
      <c r="D82" s="8">
        <v>84195</v>
      </c>
      <c r="E82" s="8">
        <v>78093</v>
      </c>
      <c r="F82" s="8">
        <v>52851</v>
      </c>
      <c r="G82" s="8">
        <f t="shared" si="12"/>
        <v>-25242</v>
      </c>
      <c r="H82" s="10">
        <f t="shared" si="13"/>
        <v>-0.32322999500595445</v>
      </c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1:28" ht="12.75">
      <c r="A83" s="7">
        <v>593</v>
      </c>
      <c r="B83" s="5" t="s">
        <v>26</v>
      </c>
      <c r="C83" s="8">
        <v>0</v>
      </c>
      <c r="D83" s="8">
        <v>0</v>
      </c>
      <c r="E83" s="8">
        <v>0</v>
      </c>
      <c r="F83" s="8">
        <v>0</v>
      </c>
      <c r="G83" s="8">
        <f t="shared" si="12"/>
        <v>0</v>
      </c>
      <c r="H83" s="10">
        <v>0</v>
      </c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1:28" ht="12.75">
      <c r="A84" s="7">
        <v>566</v>
      </c>
      <c r="B84" s="5" t="s">
        <v>27</v>
      </c>
      <c r="C84" s="8">
        <v>0</v>
      </c>
      <c r="D84" s="8">
        <v>0</v>
      </c>
      <c r="E84" s="8">
        <v>0</v>
      </c>
      <c r="F84" s="8">
        <v>0</v>
      </c>
      <c r="G84" s="8">
        <f t="shared" si="12"/>
        <v>0</v>
      </c>
      <c r="H84" s="10">
        <v>0</v>
      </c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1:28" ht="12.75">
      <c r="A85" s="7">
        <v>500</v>
      </c>
      <c r="B85" s="5" t="s">
        <v>28</v>
      </c>
      <c r="C85" s="8">
        <f>54.88+1365.99</f>
        <v>1420.8700000000001</v>
      </c>
      <c r="D85" s="8">
        <v>0</v>
      </c>
      <c r="E85" s="8">
        <v>1700</v>
      </c>
      <c r="F85" s="8">
        <v>1700</v>
      </c>
      <c r="G85" s="8">
        <f t="shared" si="12"/>
        <v>0</v>
      </c>
      <c r="H85" s="10">
        <f aca="true" t="shared" si="14" ref="H85:H87">G85/E85</f>
        <v>0</v>
      </c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1:28" ht="12.75">
      <c r="A86" s="7">
        <v>600</v>
      </c>
      <c r="B86" s="5" t="s">
        <v>29</v>
      </c>
      <c r="C86" s="8">
        <v>46624.48</v>
      </c>
      <c r="D86" s="8">
        <f>48608.21+8956.99</f>
        <v>57565.2</v>
      </c>
      <c r="E86" s="8">
        <f>70768+8000</f>
        <v>78768</v>
      </c>
      <c r="F86" s="8">
        <v>66819</v>
      </c>
      <c r="G86" s="8">
        <f t="shared" si="12"/>
        <v>-11949</v>
      </c>
      <c r="H86" s="10">
        <f t="shared" si="14"/>
        <v>-0.1516986593540524</v>
      </c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1:28" ht="12.75">
      <c r="A87" s="7">
        <v>700</v>
      </c>
      <c r="B87" s="5" t="s">
        <v>30</v>
      </c>
      <c r="C87" s="8">
        <v>1835.94</v>
      </c>
      <c r="D87" s="8">
        <v>1618.87</v>
      </c>
      <c r="E87" s="8">
        <v>4598</v>
      </c>
      <c r="F87" s="8">
        <v>6098</v>
      </c>
      <c r="G87" s="8">
        <f t="shared" si="12"/>
        <v>1500</v>
      </c>
      <c r="H87" s="10">
        <f t="shared" si="14"/>
        <v>0.32622879512831665</v>
      </c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1:28" ht="12.75">
      <c r="A88" s="7">
        <v>800</v>
      </c>
      <c r="B88" s="5" t="s">
        <v>31</v>
      </c>
      <c r="C88" s="8">
        <f>696+115</f>
        <v>811</v>
      </c>
      <c r="D88" s="8">
        <v>0</v>
      </c>
      <c r="E88" s="8">
        <v>5738</v>
      </c>
      <c r="F88" s="8">
        <v>1000</v>
      </c>
      <c r="G88" s="8">
        <f t="shared" si="12"/>
        <v>-4738</v>
      </c>
      <c r="H88" s="10">
        <v>0</v>
      </c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pans="1:28" ht="12.75">
      <c r="A89" s="7">
        <v>900</v>
      </c>
      <c r="B89" s="5" t="s">
        <v>32</v>
      </c>
      <c r="C89" s="8">
        <v>0</v>
      </c>
      <c r="D89" s="8">
        <v>0</v>
      </c>
      <c r="E89" s="8">
        <v>0</v>
      </c>
      <c r="F89" s="8">
        <v>0</v>
      </c>
      <c r="G89" s="8">
        <f t="shared" si="12"/>
        <v>0</v>
      </c>
      <c r="H89" s="10">
        <v>0</v>
      </c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1:28" ht="12.75">
      <c r="A90" s="5"/>
      <c r="B90" s="5"/>
      <c r="C90" s="8">
        <f aca="true" t="shared" si="15" ref="C90:G90">SUM(C78:C89)</f>
        <v>2328601.26</v>
      </c>
      <c r="D90" s="8">
        <f t="shared" si="15"/>
        <v>2525682.95</v>
      </c>
      <c r="E90" s="8">
        <f t="shared" si="15"/>
        <v>2597781.49</v>
      </c>
      <c r="F90" s="8">
        <f t="shared" si="15"/>
        <v>2677124.1</v>
      </c>
      <c r="G90" s="8">
        <f t="shared" si="15"/>
        <v>79342.60999999987</v>
      </c>
      <c r="H90" s="10">
        <f>G90/E90</f>
        <v>0.03054244951140978</v>
      </c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spans="1:28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pans="1:28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spans="1:28" ht="12.75">
      <c r="A93" s="2"/>
      <c r="B93" s="2" t="s">
        <v>70</v>
      </c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1:28" ht="12.75">
      <c r="A94" s="5"/>
      <c r="B94" s="11" t="s">
        <v>16</v>
      </c>
      <c r="C94" s="12" t="s">
        <v>17</v>
      </c>
      <c r="D94" s="12" t="s">
        <v>18</v>
      </c>
      <c r="E94" s="12" t="s">
        <v>19</v>
      </c>
      <c r="F94" s="12" t="s">
        <v>20</v>
      </c>
      <c r="G94" s="11" t="s">
        <v>7</v>
      </c>
      <c r="H94" s="12" t="s">
        <v>21</v>
      </c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1:28" ht="12.75">
      <c r="A95" s="5"/>
      <c r="B95" s="5"/>
      <c r="C95" s="5"/>
      <c r="D95" s="5"/>
      <c r="E95" s="5"/>
      <c r="F95" s="5"/>
      <c r="G95" s="5"/>
      <c r="H95" s="5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1:28" ht="12.75">
      <c r="A96" s="7">
        <v>100</v>
      </c>
      <c r="B96" s="5" t="s">
        <v>22</v>
      </c>
      <c r="C96" s="8">
        <v>1793092.9</v>
      </c>
      <c r="D96" s="8">
        <v>1866296.05</v>
      </c>
      <c r="E96" s="8">
        <f>1982838+4448</f>
        <v>1987286</v>
      </c>
      <c r="F96" s="8">
        <v>1950921.14</v>
      </c>
      <c r="G96" s="8">
        <f aca="true" t="shared" si="16" ref="G96:G107">F96-E96</f>
        <v>-36364.8600000001</v>
      </c>
      <c r="H96" s="10">
        <f aca="true" t="shared" si="17" ref="H96:H98">G96/E96</f>
        <v>-0.018298755186722044</v>
      </c>
      <c r="I96" s="2" t="s">
        <v>71</v>
      </c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1:28" ht="12.75">
      <c r="A97" s="7">
        <v>200</v>
      </c>
      <c r="B97" s="5" t="s">
        <v>10</v>
      </c>
      <c r="C97" s="8">
        <v>563805.21</v>
      </c>
      <c r="D97" s="8">
        <v>629728.31</v>
      </c>
      <c r="E97" s="8">
        <f>695629.44+5597-6844</f>
        <v>694382.44</v>
      </c>
      <c r="F97" s="8">
        <v>668437.27</v>
      </c>
      <c r="G97" s="8">
        <f t="shared" si="16"/>
        <v>-25945.169999999925</v>
      </c>
      <c r="H97" s="10">
        <f t="shared" si="17"/>
        <v>-0.03736438093106146</v>
      </c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1:28" ht="12.75">
      <c r="A98" s="7">
        <v>300</v>
      </c>
      <c r="B98" s="5" t="s">
        <v>23</v>
      </c>
      <c r="C98" s="8">
        <v>108835.45</v>
      </c>
      <c r="D98" s="8">
        <v>70949.42</v>
      </c>
      <c r="E98" s="8">
        <v>67321</v>
      </c>
      <c r="F98" s="8">
        <v>91482.84</v>
      </c>
      <c r="G98" s="8">
        <f t="shared" si="16"/>
        <v>24161.839999999997</v>
      </c>
      <c r="H98" s="10">
        <f t="shared" si="17"/>
        <v>0.358904947936008</v>
      </c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1:28" ht="12.75">
      <c r="A99" s="7">
        <v>400</v>
      </c>
      <c r="B99" s="5" t="s">
        <v>24</v>
      </c>
      <c r="C99" s="8">
        <v>1308.74</v>
      </c>
      <c r="D99" s="8">
        <v>602.56</v>
      </c>
      <c r="E99" s="8">
        <v>7500</v>
      </c>
      <c r="F99" s="8">
        <v>4900</v>
      </c>
      <c r="G99" s="8">
        <f t="shared" si="16"/>
        <v>-2600</v>
      </c>
      <c r="H99" s="10">
        <v>0</v>
      </c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1:28" ht="12.75">
      <c r="A100" s="7">
        <v>561</v>
      </c>
      <c r="B100" s="5" t="s">
        <v>25</v>
      </c>
      <c r="C100" s="8">
        <v>158557</v>
      </c>
      <c r="D100" s="8">
        <v>101950</v>
      </c>
      <c r="E100" s="8">
        <v>113400</v>
      </c>
      <c r="F100" s="8">
        <v>73900</v>
      </c>
      <c r="G100" s="8">
        <f t="shared" si="16"/>
        <v>-39500</v>
      </c>
      <c r="H100" s="10">
        <f>G100/E100</f>
        <v>-0.34832451499118167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1:28" ht="12.75">
      <c r="A101" s="7">
        <v>593</v>
      </c>
      <c r="B101" s="5" t="s">
        <v>26</v>
      </c>
      <c r="C101" s="8">
        <v>0</v>
      </c>
      <c r="D101" s="8">
        <v>0</v>
      </c>
      <c r="E101" s="8">
        <v>0</v>
      </c>
      <c r="F101" s="8">
        <v>0</v>
      </c>
      <c r="G101" s="8">
        <f t="shared" si="16"/>
        <v>0</v>
      </c>
      <c r="H101" s="10">
        <v>0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1:28" ht="12.75">
      <c r="A102" s="7">
        <v>566</v>
      </c>
      <c r="B102" s="5" t="s">
        <v>27</v>
      </c>
      <c r="C102" s="8">
        <v>301477</v>
      </c>
      <c r="D102" s="8">
        <v>373547.18</v>
      </c>
      <c r="E102" s="8">
        <f aca="true" t="shared" si="18" ref="E102:F102">237099+154732</f>
        <v>391831</v>
      </c>
      <c r="F102" s="8">
        <f t="shared" si="18"/>
        <v>391831</v>
      </c>
      <c r="G102" s="8">
        <f t="shared" si="16"/>
        <v>0</v>
      </c>
      <c r="H102" s="10">
        <f aca="true" t="shared" si="19" ref="H102:H106">G102/E102</f>
        <v>0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1:28" ht="12.75">
      <c r="A103" s="7">
        <v>500</v>
      </c>
      <c r="B103" s="5" t="s">
        <v>28</v>
      </c>
      <c r="C103" s="8">
        <v>14903.16</v>
      </c>
      <c r="D103" s="8">
        <v>7374.4</v>
      </c>
      <c r="E103" s="8">
        <v>9900</v>
      </c>
      <c r="F103" s="8">
        <v>8450</v>
      </c>
      <c r="G103" s="8">
        <f t="shared" si="16"/>
        <v>-1450</v>
      </c>
      <c r="H103" s="10">
        <f t="shared" si="19"/>
        <v>-0.14646464646464646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1:28" ht="12.75">
      <c r="A104" s="7">
        <v>600</v>
      </c>
      <c r="B104" s="5" t="s">
        <v>29</v>
      </c>
      <c r="C104" s="8">
        <v>43364.81</v>
      </c>
      <c r="D104" s="8">
        <v>44020.69</v>
      </c>
      <c r="E104" s="8">
        <v>85015</v>
      </c>
      <c r="F104" s="8">
        <v>95909</v>
      </c>
      <c r="G104" s="8">
        <f t="shared" si="16"/>
        <v>10894</v>
      </c>
      <c r="H104" s="10">
        <f t="shared" si="19"/>
        <v>0.12814209257189907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1:28" ht="12.75">
      <c r="A105" s="7">
        <v>700</v>
      </c>
      <c r="B105" s="5" t="s">
        <v>30</v>
      </c>
      <c r="C105" s="8">
        <v>10658.99</v>
      </c>
      <c r="D105" s="8">
        <v>14213.85</v>
      </c>
      <c r="E105" s="8">
        <v>18650</v>
      </c>
      <c r="F105" s="8">
        <v>19600</v>
      </c>
      <c r="G105" s="8">
        <f t="shared" si="16"/>
        <v>950</v>
      </c>
      <c r="H105" s="10">
        <f t="shared" si="19"/>
        <v>0.05093833780160858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1:28" ht="12.75">
      <c r="A106" s="7">
        <v>800</v>
      </c>
      <c r="B106" s="5" t="s">
        <v>31</v>
      </c>
      <c r="C106" s="8">
        <v>5704.41</v>
      </c>
      <c r="D106" s="8">
        <v>2768</v>
      </c>
      <c r="E106" s="8">
        <v>6800</v>
      </c>
      <c r="F106" s="8">
        <v>6800</v>
      </c>
      <c r="G106" s="8">
        <f t="shared" si="16"/>
        <v>0</v>
      </c>
      <c r="H106" s="10">
        <f t="shared" si="19"/>
        <v>0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1:28" ht="12.75">
      <c r="A107" s="7">
        <v>900</v>
      </c>
      <c r="B107" s="5" t="s">
        <v>32</v>
      </c>
      <c r="C107" s="8">
        <v>0</v>
      </c>
      <c r="D107" s="8">
        <v>0</v>
      </c>
      <c r="E107" s="8">
        <v>0</v>
      </c>
      <c r="F107" s="8">
        <v>0</v>
      </c>
      <c r="G107" s="8">
        <f t="shared" si="16"/>
        <v>0</v>
      </c>
      <c r="H107" s="10">
        <v>0</v>
      </c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1:28" ht="12.75">
      <c r="A108" s="5"/>
      <c r="B108" s="5"/>
      <c r="C108" s="8">
        <f aca="true" t="shared" si="20" ref="C108:G108">SUM(C96:C107)</f>
        <v>3001707.67</v>
      </c>
      <c r="D108" s="8">
        <f t="shared" si="20"/>
        <v>3111450.46</v>
      </c>
      <c r="E108" s="8">
        <f t="shared" si="20"/>
        <v>3382085.44</v>
      </c>
      <c r="F108" s="8">
        <f t="shared" si="20"/>
        <v>3312231.25</v>
      </c>
      <c r="G108" s="8">
        <f t="shared" si="20"/>
        <v>-69854.19000000003</v>
      </c>
      <c r="H108" s="10">
        <f>G108/E108</f>
        <v>-0.020654176613586685</v>
      </c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1:28" ht="12.75">
      <c r="A109" s="2"/>
      <c r="B109" s="2"/>
      <c r="C109" s="2"/>
      <c r="D109" s="2"/>
      <c r="E109" s="2"/>
      <c r="F109" s="14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ht="12.75">
      <c r="A111" s="2"/>
      <c r="B111" s="2" t="s">
        <v>72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ht="12.75">
      <c r="A112" s="5"/>
      <c r="B112" s="11" t="s">
        <v>16</v>
      </c>
      <c r="C112" s="12" t="s">
        <v>17</v>
      </c>
      <c r="D112" s="12" t="s">
        <v>18</v>
      </c>
      <c r="E112" s="12" t="s">
        <v>19</v>
      </c>
      <c r="F112" s="12" t="s">
        <v>20</v>
      </c>
      <c r="G112" s="11" t="s">
        <v>7</v>
      </c>
      <c r="H112" s="12" t="s">
        <v>21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ht="12.75">
      <c r="A113" s="5"/>
      <c r="B113" s="5"/>
      <c r="C113" s="5"/>
      <c r="D113" s="5"/>
      <c r="E113" s="5"/>
      <c r="F113" s="5"/>
      <c r="G113" s="5"/>
      <c r="H113" s="5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ht="12.75">
      <c r="A114" s="7">
        <v>100</v>
      </c>
      <c r="B114" s="5" t="s">
        <v>22</v>
      </c>
      <c r="C114" s="8">
        <v>114859.38</v>
      </c>
      <c r="D114" s="8">
        <v>52985</v>
      </c>
      <c r="E114" s="8">
        <v>117808</v>
      </c>
      <c r="F114" s="8">
        <v>117808</v>
      </c>
      <c r="G114" s="8">
        <f aca="true" t="shared" si="21" ref="G114:G125">F114-E114</f>
        <v>0</v>
      </c>
      <c r="H114" s="10">
        <f aca="true" t="shared" si="22" ref="H114:H115">G114/E114</f>
        <v>0</v>
      </c>
      <c r="I114" s="2" t="s">
        <v>73</v>
      </c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ht="12.75">
      <c r="A115" s="7">
        <v>200</v>
      </c>
      <c r="B115" s="5" t="s">
        <v>10</v>
      </c>
      <c r="C115" s="8">
        <v>47548.15</v>
      </c>
      <c r="D115" s="8">
        <v>39178.71</v>
      </c>
      <c r="E115" s="8">
        <v>55692.33</v>
      </c>
      <c r="F115" s="8">
        <v>57843.37</v>
      </c>
      <c r="G115" s="8">
        <f t="shared" si="21"/>
        <v>2151.040000000001</v>
      </c>
      <c r="H115" s="10">
        <f t="shared" si="22"/>
        <v>0.038623630938048395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1:28" ht="12.75">
      <c r="A116" s="7">
        <v>300</v>
      </c>
      <c r="B116" s="5" t="s">
        <v>23</v>
      </c>
      <c r="C116" s="8">
        <v>0</v>
      </c>
      <c r="D116" s="8">
        <v>16078.34</v>
      </c>
      <c r="E116" s="8">
        <v>2000</v>
      </c>
      <c r="F116" s="8">
        <v>40000</v>
      </c>
      <c r="G116" s="8">
        <f t="shared" si="21"/>
        <v>38000</v>
      </c>
      <c r="H116" s="10">
        <v>0</v>
      </c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1:28" ht="12.75">
      <c r="A117" s="7">
        <v>400</v>
      </c>
      <c r="B117" s="5" t="s">
        <v>24</v>
      </c>
      <c r="C117" s="8">
        <v>0</v>
      </c>
      <c r="D117" s="8">
        <v>0</v>
      </c>
      <c r="E117" s="8">
        <v>0</v>
      </c>
      <c r="F117" s="8">
        <v>0</v>
      </c>
      <c r="G117" s="8">
        <f t="shared" si="21"/>
        <v>0</v>
      </c>
      <c r="H117" s="10">
        <v>0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1:28" ht="12.75">
      <c r="A118" s="7">
        <v>561</v>
      </c>
      <c r="B118" s="5" t="s">
        <v>25</v>
      </c>
      <c r="C118" s="8">
        <v>0</v>
      </c>
      <c r="D118" s="8">
        <v>0</v>
      </c>
      <c r="E118" s="8">
        <v>0</v>
      </c>
      <c r="F118" s="8">
        <v>0</v>
      </c>
      <c r="G118" s="8">
        <f t="shared" si="21"/>
        <v>0</v>
      </c>
      <c r="H118" s="10">
        <v>0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1:28" ht="12.75">
      <c r="A119" s="7">
        <v>593</v>
      </c>
      <c r="B119" s="5" t="s">
        <v>26</v>
      </c>
      <c r="C119" s="8">
        <v>0</v>
      </c>
      <c r="D119" s="8">
        <v>0</v>
      </c>
      <c r="E119" s="8">
        <v>0</v>
      </c>
      <c r="F119" s="8">
        <v>0</v>
      </c>
      <c r="G119" s="8">
        <f t="shared" si="21"/>
        <v>0</v>
      </c>
      <c r="H119" s="10">
        <v>0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ht="12.75">
      <c r="A120" s="7">
        <v>566</v>
      </c>
      <c r="B120" s="5" t="s">
        <v>27</v>
      </c>
      <c r="C120" s="8">
        <v>0</v>
      </c>
      <c r="D120" s="8">
        <v>0</v>
      </c>
      <c r="E120" s="8">
        <v>0</v>
      </c>
      <c r="F120" s="8">
        <v>0</v>
      </c>
      <c r="G120" s="8">
        <f t="shared" si="21"/>
        <v>0</v>
      </c>
      <c r="H120" s="10">
        <v>0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ht="12.75">
      <c r="A121" s="7">
        <v>500</v>
      </c>
      <c r="B121" s="5" t="s">
        <v>28</v>
      </c>
      <c r="C121" s="8">
        <v>0</v>
      </c>
      <c r="D121" s="8">
        <v>0</v>
      </c>
      <c r="E121" s="8">
        <v>75</v>
      </c>
      <c r="F121" s="8">
        <v>0</v>
      </c>
      <c r="G121" s="8">
        <f t="shared" si="21"/>
        <v>-75</v>
      </c>
      <c r="H121" s="10">
        <v>0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ht="12.75">
      <c r="A122" s="7">
        <v>600</v>
      </c>
      <c r="B122" s="5" t="s">
        <v>29</v>
      </c>
      <c r="C122" s="8">
        <v>17135</v>
      </c>
      <c r="D122" s="8">
        <v>26075.49</v>
      </c>
      <c r="E122" s="8">
        <v>25825</v>
      </c>
      <c r="F122" s="8">
        <v>26000</v>
      </c>
      <c r="G122" s="8">
        <f t="shared" si="21"/>
        <v>175</v>
      </c>
      <c r="H122" s="10">
        <f aca="true" t="shared" si="23" ref="H122:H124">G122/E122</f>
        <v>0.006776379477250726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ht="12.75">
      <c r="A123" s="7">
        <v>700</v>
      </c>
      <c r="B123" s="5" t="s">
        <v>30</v>
      </c>
      <c r="C123" s="8">
        <v>5907.48</v>
      </c>
      <c r="D123" s="8">
        <v>1236.43</v>
      </c>
      <c r="E123" s="8">
        <f>1450+6790</f>
        <v>8240</v>
      </c>
      <c r="F123" s="8">
        <v>1450</v>
      </c>
      <c r="G123" s="8">
        <f t="shared" si="21"/>
        <v>-6790</v>
      </c>
      <c r="H123" s="10">
        <f t="shared" si="23"/>
        <v>-0.8240291262135923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ht="12.75">
      <c r="A124" s="7">
        <v>800</v>
      </c>
      <c r="B124" s="5" t="s">
        <v>31</v>
      </c>
      <c r="C124" s="8">
        <v>254.89</v>
      </c>
      <c r="D124" s="8">
        <v>330.77</v>
      </c>
      <c r="E124" s="8">
        <v>530</v>
      </c>
      <c r="F124" s="8">
        <v>480</v>
      </c>
      <c r="G124" s="8">
        <f t="shared" si="21"/>
        <v>-50</v>
      </c>
      <c r="H124" s="10">
        <f t="shared" si="23"/>
        <v>-0.09433962264150944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ht="12.75">
      <c r="A125" s="7">
        <v>900</v>
      </c>
      <c r="B125" s="5" t="s">
        <v>32</v>
      </c>
      <c r="C125" s="8">
        <v>0</v>
      </c>
      <c r="D125" s="8">
        <v>0</v>
      </c>
      <c r="E125" s="8">
        <v>0</v>
      </c>
      <c r="F125" s="8">
        <v>0</v>
      </c>
      <c r="G125" s="8">
        <f t="shared" si="21"/>
        <v>0</v>
      </c>
      <c r="H125" s="10">
        <v>0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1:28" ht="12.75">
      <c r="A126" s="5"/>
      <c r="B126" s="5"/>
      <c r="C126" s="8">
        <f aca="true" t="shared" si="24" ref="C126:G126">SUM(C114:C125)</f>
        <v>185704.90000000002</v>
      </c>
      <c r="D126" s="8">
        <f t="shared" si="24"/>
        <v>135884.74</v>
      </c>
      <c r="E126" s="8">
        <f t="shared" si="24"/>
        <v>210170.33000000002</v>
      </c>
      <c r="F126" s="8">
        <f t="shared" si="24"/>
        <v>243581.37</v>
      </c>
      <c r="G126" s="8">
        <f t="shared" si="24"/>
        <v>33411.04</v>
      </c>
      <c r="H126" s="10">
        <f>G126/E126</f>
        <v>0.1589712496526032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ht="12.75">
      <c r="A129" s="2"/>
      <c r="B129" s="2" t="s">
        <v>74</v>
      </c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ht="12.75">
      <c r="A130" s="5"/>
      <c r="B130" s="11" t="s">
        <v>16</v>
      </c>
      <c r="C130" s="12" t="s">
        <v>17</v>
      </c>
      <c r="D130" s="12" t="s">
        <v>18</v>
      </c>
      <c r="E130" s="12" t="s">
        <v>19</v>
      </c>
      <c r="F130" s="12" t="s">
        <v>20</v>
      </c>
      <c r="G130" s="11" t="s">
        <v>7</v>
      </c>
      <c r="H130" s="12" t="s">
        <v>21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:28" ht="12.75">
      <c r="A131" s="5"/>
      <c r="B131" s="5"/>
      <c r="C131" s="5"/>
      <c r="D131" s="5"/>
      <c r="E131" s="5"/>
      <c r="F131" s="5"/>
      <c r="G131" s="5"/>
      <c r="H131" s="5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1:28" ht="12.75">
      <c r="A132" s="7">
        <v>100</v>
      </c>
      <c r="B132" s="5" t="s">
        <v>22</v>
      </c>
      <c r="C132" s="8">
        <v>392815.69</v>
      </c>
      <c r="D132" s="8">
        <v>444530.93</v>
      </c>
      <c r="E132" s="8">
        <v>438104.75</v>
      </c>
      <c r="F132" s="8">
        <v>454997.15</v>
      </c>
      <c r="G132" s="8">
        <f aca="true" t="shared" si="25" ref="G132:G143">F132-E132</f>
        <v>16892.400000000023</v>
      </c>
      <c r="H132" s="10">
        <f aca="true" t="shared" si="26" ref="H132:H134">G132/E132</f>
        <v>0.03855790196294385</v>
      </c>
      <c r="I132" s="2" t="s">
        <v>75</v>
      </c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1:28" ht="12.75">
      <c r="A133" s="7">
        <v>200</v>
      </c>
      <c r="B133" s="5" t="s">
        <v>10</v>
      </c>
      <c r="C133" s="8">
        <v>99377.29</v>
      </c>
      <c r="D133" s="8">
        <v>136476.73</v>
      </c>
      <c r="E133" s="8">
        <v>147110.18</v>
      </c>
      <c r="F133" s="8">
        <v>156577.19</v>
      </c>
      <c r="G133" s="8">
        <f t="shared" si="25"/>
        <v>9467.01000000001</v>
      </c>
      <c r="H133" s="10">
        <f t="shared" si="26"/>
        <v>0.06435319432006684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:28" ht="12.75">
      <c r="A134" s="7">
        <v>300</v>
      </c>
      <c r="B134" s="5" t="s">
        <v>23</v>
      </c>
      <c r="C134" s="8">
        <v>45080.38</v>
      </c>
      <c r="D134" s="8">
        <v>63274</v>
      </c>
      <c r="E134" s="8">
        <v>32350</v>
      </c>
      <c r="F134" s="8">
        <v>43050</v>
      </c>
      <c r="G134" s="8">
        <f t="shared" si="25"/>
        <v>10700</v>
      </c>
      <c r="H134" s="10">
        <f t="shared" si="26"/>
        <v>0.33075734157650694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1:28" ht="12.75">
      <c r="A135" s="7">
        <v>400</v>
      </c>
      <c r="B135" s="5" t="s">
        <v>24</v>
      </c>
      <c r="C135" s="8">
        <v>0</v>
      </c>
      <c r="D135" s="8">
        <v>0</v>
      </c>
      <c r="E135" s="8">
        <v>0</v>
      </c>
      <c r="F135" s="8">
        <v>0</v>
      </c>
      <c r="G135" s="8">
        <f t="shared" si="25"/>
        <v>0</v>
      </c>
      <c r="H135" s="10">
        <v>0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1:28" ht="12.75">
      <c r="A136" s="7">
        <v>561</v>
      </c>
      <c r="B136" s="5" t="s">
        <v>25</v>
      </c>
      <c r="C136" s="8">
        <v>0</v>
      </c>
      <c r="D136" s="8">
        <v>0</v>
      </c>
      <c r="E136" s="8">
        <v>0</v>
      </c>
      <c r="F136" s="8">
        <v>0</v>
      </c>
      <c r="G136" s="8">
        <f t="shared" si="25"/>
        <v>0</v>
      </c>
      <c r="H136" s="10">
        <v>0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1:28" ht="12.75">
      <c r="A137" s="7">
        <v>593</v>
      </c>
      <c r="B137" s="5" t="s">
        <v>26</v>
      </c>
      <c r="C137" s="8">
        <v>0</v>
      </c>
      <c r="D137" s="8">
        <v>0</v>
      </c>
      <c r="E137" s="8">
        <v>0</v>
      </c>
      <c r="F137" s="8">
        <v>0</v>
      </c>
      <c r="G137" s="8">
        <f t="shared" si="25"/>
        <v>0</v>
      </c>
      <c r="H137" s="10">
        <v>0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:28" ht="12.75">
      <c r="A138" s="7">
        <v>566</v>
      </c>
      <c r="B138" s="5" t="s">
        <v>27</v>
      </c>
      <c r="C138" s="8">
        <v>0</v>
      </c>
      <c r="D138" s="8">
        <v>0</v>
      </c>
      <c r="E138" s="8">
        <v>0</v>
      </c>
      <c r="F138" s="8">
        <v>0</v>
      </c>
      <c r="G138" s="8">
        <f t="shared" si="25"/>
        <v>0</v>
      </c>
      <c r="H138" s="10">
        <v>0</v>
      </c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:28" ht="12.75">
      <c r="A139" s="7">
        <v>500</v>
      </c>
      <c r="B139" s="5" t="s">
        <v>28</v>
      </c>
      <c r="C139" s="8">
        <v>4430.81</v>
      </c>
      <c r="D139" s="8">
        <v>250.6</v>
      </c>
      <c r="E139" s="8">
        <v>4500</v>
      </c>
      <c r="F139" s="8">
        <v>3000</v>
      </c>
      <c r="G139" s="8">
        <f t="shared" si="25"/>
        <v>-1500</v>
      </c>
      <c r="H139" s="10">
        <v>0</v>
      </c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1:28" ht="12.75">
      <c r="A140" s="7">
        <v>600</v>
      </c>
      <c r="B140" s="5" t="s">
        <v>29</v>
      </c>
      <c r="C140" s="8">
        <v>3991.92</v>
      </c>
      <c r="D140" s="8">
        <v>11505.3</v>
      </c>
      <c r="E140" s="8">
        <v>8200</v>
      </c>
      <c r="F140" s="8">
        <v>8200</v>
      </c>
      <c r="G140" s="8">
        <f t="shared" si="25"/>
        <v>0</v>
      </c>
      <c r="H140" s="10">
        <f>G140/E140</f>
        <v>0</v>
      </c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1:28" ht="12.75">
      <c r="A141" s="7">
        <v>700</v>
      </c>
      <c r="B141" s="5" t="s">
        <v>30</v>
      </c>
      <c r="C141" s="8">
        <v>320.26</v>
      </c>
      <c r="D141" s="8">
        <v>240.74</v>
      </c>
      <c r="E141" s="8">
        <v>2000</v>
      </c>
      <c r="F141" s="8">
        <v>2000</v>
      </c>
      <c r="G141" s="8">
        <f t="shared" si="25"/>
        <v>0</v>
      </c>
      <c r="H141" s="10">
        <v>0</v>
      </c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1:28" ht="12.75">
      <c r="A142" s="7">
        <v>800</v>
      </c>
      <c r="B142" s="5" t="s">
        <v>31</v>
      </c>
      <c r="C142" s="8">
        <v>0</v>
      </c>
      <c r="D142" s="8">
        <v>15</v>
      </c>
      <c r="E142" s="8">
        <v>2000</v>
      </c>
      <c r="F142" s="8">
        <v>2000</v>
      </c>
      <c r="G142" s="8">
        <f t="shared" si="25"/>
        <v>0</v>
      </c>
      <c r="H142" s="10">
        <v>0</v>
      </c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1:28" ht="12.75">
      <c r="A143" s="7">
        <v>900</v>
      </c>
      <c r="B143" s="5" t="s">
        <v>32</v>
      </c>
      <c r="C143" s="8">
        <v>0</v>
      </c>
      <c r="D143" s="8">
        <v>0</v>
      </c>
      <c r="E143" s="8">
        <v>0</v>
      </c>
      <c r="F143" s="8">
        <v>0</v>
      </c>
      <c r="G143" s="8">
        <f t="shared" si="25"/>
        <v>0</v>
      </c>
      <c r="H143" s="10">
        <v>0</v>
      </c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:28" ht="12.75">
      <c r="A144" s="5"/>
      <c r="B144" s="5"/>
      <c r="C144" s="8">
        <f aca="true" t="shared" si="27" ref="C144:G144">SUM(C132:C143)</f>
        <v>546016.35</v>
      </c>
      <c r="D144" s="8">
        <f t="shared" si="27"/>
        <v>656293.3</v>
      </c>
      <c r="E144" s="8">
        <f t="shared" si="27"/>
        <v>634264.9299999999</v>
      </c>
      <c r="F144" s="8">
        <f t="shared" si="27"/>
        <v>669824.3400000001</v>
      </c>
      <c r="G144" s="8">
        <f t="shared" si="27"/>
        <v>35559.41000000003</v>
      </c>
      <c r="H144" s="10">
        <f>G144/E144</f>
        <v>0.05606396998806167</v>
      </c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:28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:28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 ht="12.75">
      <c r="A147" s="2"/>
      <c r="B147" s="2" t="s">
        <v>76</v>
      </c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:28" ht="12.75">
      <c r="A148" s="5"/>
      <c r="B148" s="11" t="s">
        <v>16</v>
      </c>
      <c r="C148" s="12" t="s">
        <v>17</v>
      </c>
      <c r="D148" s="12" t="s">
        <v>18</v>
      </c>
      <c r="E148" s="12" t="s">
        <v>19</v>
      </c>
      <c r="F148" s="12" t="s">
        <v>20</v>
      </c>
      <c r="G148" s="11" t="s">
        <v>7</v>
      </c>
      <c r="H148" s="12" t="s">
        <v>21</v>
      </c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:28" ht="12.75">
      <c r="A149" s="5"/>
      <c r="B149" s="5"/>
      <c r="C149" s="5"/>
      <c r="D149" s="5"/>
      <c r="E149" s="5"/>
      <c r="F149" s="5"/>
      <c r="G149" s="5"/>
      <c r="H149" s="5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 ht="12.75">
      <c r="A150" s="7">
        <v>100</v>
      </c>
      <c r="B150" s="5" t="s">
        <v>22</v>
      </c>
      <c r="C150" s="8">
        <v>633849.68</v>
      </c>
      <c r="D150" s="8">
        <v>435895.19</v>
      </c>
      <c r="E150" s="8">
        <v>514037</v>
      </c>
      <c r="F150" s="8">
        <v>610912.94</v>
      </c>
      <c r="G150" s="8">
        <f aca="true" t="shared" si="28" ref="G150:G161">F150-E150</f>
        <v>96875.93999999994</v>
      </c>
      <c r="H150" s="10">
        <f aca="true" t="shared" si="29" ref="H150:H153">G150/E150</f>
        <v>0.18846102517912125</v>
      </c>
      <c r="I150" s="2" t="s">
        <v>77</v>
      </c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 ht="12.75">
      <c r="A151" s="7">
        <v>200</v>
      </c>
      <c r="B151" s="5" t="s">
        <v>10</v>
      </c>
      <c r="C151" s="8">
        <v>178680.4</v>
      </c>
      <c r="D151" s="8">
        <v>114551.05</v>
      </c>
      <c r="E151" s="8">
        <v>161252.16</v>
      </c>
      <c r="F151" s="8">
        <v>185280.87</v>
      </c>
      <c r="G151" s="8">
        <f t="shared" si="28"/>
        <v>24028.709999999992</v>
      </c>
      <c r="H151" s="10">
        <f t="shared" si="29"/>
        <v>0.149013259729358</v>
      </c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 ht="12.75">
      <c r="A152" s="7">
        <v>300</v>
      </c>
      <c r="B152" s="5" t="s">
        <v>23</v>
      </c>
      <c r="C152" s="8">
        <v>11696.68</v>
      </c>
      <c r="D152" s="8">
        <v>26410.26</v>
      </c>
      <c r="E152" s="8">
        <v>40557.4</v>
      </c>
      <c r="F152" s="8">
        <v>41957.33</v>
      </c>
      <c r="G152" s="8">
        <f t="shared" si="28"/>
        <v>1399.9300000000003</v>
      </c>
      <c r="H152" s="10">
        <f t="shared" si="29"/>
        <v>0.03451725209209664</v>
      </c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:28" ht="12.75">
      <c r="A153" s="7">
        <v>400</v>
      </c>
      <c r="B153" s="5" t="s">
        <v>24</v>
      </c>
      <c r="C153" s="8">
        <v>32383.59</v>
      </c>
      <c r="D153" s="8">
        <v>34391.6</v>
      </c>
      <c r="E153" s="8">
        <v>34800</v>
      </c>
      <c r="F153" s="8">
        <v>38300</v>
      </c>
      <c r="G153" s="8">
        <f t="shared" si="28"/>
        <v>3500</v>
      </c>
      <c r="H153" s="10">
        <f t="shared" si="29"/>
        <v>0.10057471264367816</v>
      </c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:28" ht="12.75">
      <c r="A154" s="7">
        <v>561</v>
      </c>
      <c r="B154" s="5" t="s">
        <v>25</v>
      </c>
      <c r="C154" s="8">
        <v>0</v>
      </c>
      <c r="D154" s="8">
        <v>0</v>
      </c>
      <c r="E154" s="8">
        <v>0</v>
      </c>
      <c r="F154" s="8">
        <v>0</v>
      </c>
      <c r="G154" s="8">
        <f t="shared" si="28"/>
        <v>0</v>
      </c>
      <c r="H154" s="10">
        <v>0</v>
      </c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:28" ht="12.75">
      <c r="A155" s="7">
        <v>593</v>
      </c>
      <c r="B155" s="5" t="s">
        <v>26</v>
      </c>
      <c r="C155" s="8">
        <v>0</v>
      </c>
      <c r="D155" s="8">
        <v>0</v>
      </c>
      <c r="E155" s="8">
        <v>0</v>
      </c>
      <c r="F155" s="8">
        <v>0</v>
      </c>
      <c r="G155" s="8">
        <f t="shared" si="28"/>
        <v>0</v>
      </c>
      <c r="H155" s="10">
        <v>0</v>
      </c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:28" ht="12.75">
      <c r="A156" s="7">
        <v>566</v>
      </c>
      <c r="B156" s="5" t="s">
        <v>27</v>
      </c>
      <c r="C156" s="8">
        <v>0</v>
      </c>
      <c r="D156" s="8">
        <v>0</v>
      </c>
      <c r="E156" s="8">
        <v>0</v>
      </c>
      <c r="F156" s="8">
        <v>0</v>
      </c>
      <c r="G156" s="8">
        <f t="shared" si="28"/>
        <v>0</v>
      </c>
      <c r="H156" s="10">
        <v>0</v>
      </c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:28" ht="12.75">
      <c r="A157" s="7">
        <v>500</v>
      </c>
      <c r="B157" s="5" t="s">
        <v>28</v>
      </c>
      <c r="C157" s="8">
        <v>7610.49</v>
      </c>
      <c r="D157" s="8">
        <v>6152.09</v>
      </c>
      <c r="E157" s="8">
        <v>11800</v>
      </c>
      <c r="F157" s="8">
        <v>11800</v>
      </c>
      <c r="G157" s="8">
        <f t="shared" si="28"/>
        <v>0</v>
      </c>
      <c r="H157" s="10">
        <f aca="true" t="shared" si="30" ref="H157:H158">G157/E157</f>
        <v>0</v>
      </c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 ht="12.75">
      <c r="A158" s="7">
        <v>600</v>
      </c>
      <c r="B158" s="5" t="s">
        <v>29</v>
      </c>
      <c r="C158" s="8">
        <v>13079.49</v>
      </c>
      <c r="D158" s="8">
        <v>8905.42</v>
      </c>
      <c r="E158" s="8">
        <v>22950</v>
      </c>
      <c r="F158" s="8">
        <v>22950</v>
      </c>
      <c r="G158" s="8">
        <f t="shared" si="28"/>
        <v>0</v>
      </c>
      <c r="H158" s="10">
        <f t="shared" si="30"/>
        <v>0</v>
      </c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:28" ht="12.75">
      <c r="A159" s="7">
        <v>700</v>
      </c>
      <c r="B159" s="5" t="s">
        <v>30</v>
      </c>
      <c r="C159" s="8">
        <v>143.78</v>
      </c>
      <c r="D159" s="8">
        <v>0</v>
      </c>
      <c r="E159" s="8">
        <v>1500</v>
      </c>
      <c r="F159" s="8">
        <v>1500</v>
      </c>
      <c r="G159" s="8">
        <f t="shared" si="28"/>
        <v>0</v>
      </c>
      <c r="H159" s="10">
        <v>0</v>
      </c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 ht="12.75">
      <c r="A160" s="7">
        <v>800</v>
      </c>
      <c r="B160" s="5" t="s">
        <v>31</v>
      </c>
      <c r="C160" s="8">
        <v>4425.93</v>
      </c>
      <c r="D160" s="8">
        <v>4993</v>
      </c>
      <c r="E160" s="8">
        <v>7650</v>
      </c>
      <c r="F160" s="8">
        <v>7850</v>
      </c>
      <c r="G160" s="8">
        <f t="shared" si="28"/>
        <v>200</v>
      </c>
      <c r="H160" s="10">
        <f>G160/E160</f>
        <v>0.026143790849673203</v>
      </c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:28" ht="12.75">
      <c r="A161" s="7">
        <v>900</v>
      </c>
      <c r="B161" s="5" t="s">
        <v>32</v>
      </c>
      <c r="C161" s="8">
        <v>0</v>
      </c>
      <c r="D161" s="8">
        <v>0</v>
      </c>
      <c r="E161" s="8">
        <v>0</v>
      </c>
      <c r="F161" s="8">
        <v>0</v>
      </c>
      <c r="G161" s="8">
        <f t="shared" si="28"/>
        <v>0</v>
      </c>
      <c r="H161" s="10">
        <v>0</v>
      </c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:28" ht="12.75">
      <c r="A162" s="5"/>
      <c r="B162" s="5"/>
      <c r="C162" s="8">
        <f aca="true" t="shared" si="31" ref="C162:G162">SUM(C150:C161)</f>
        <v>881870.04</v>
      </c>
      <c r="D162" s="8">
        <f t="shared" si="31"/>
        <v>631298.61</v>
      </c>
      <c r="E162" s="8">
        <f t="shared" si="31"/>
        <v>794546.56</v>
      </c>
      <c r="F162" s="8">
        <f t="shared" si="31"/>
        <v>920551.1399999999</v>
      </c>
      <c r="G162" s="8">
        <f t="shared" si="31"/>
        <v>126004.57999999993</v>
      </c>
      <c r="H162" s="10">
        <f>G162/E162</f>
        <v>0.15858677935752427</v>
      </c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:28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:28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:28" ht="12.75">
      <c r="A165" s="2"/>
      <c r="B165" s="2" t="s">
        <v>78</v>
      </c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:28" ht="12.75">
      <c r="A166" s="5"/>
      <c r="B166" s="11" t="s">
        <v>16</v>
      </c>
      <c r="C166" s="12" t="s">
        <v>17</v>
      </c>
      <c r="D166" s="12" t="s">
        <v>18</v>
      </c>
      <c r="E166" s="12" t="s">
        <v>19</v>
      </c>
      <c r="F166" s="12" t="s">
        <v>20</v>
      </c>
      <c r="G166" s="11" t="s">
        <v>7</v>
      </c>
      <c r="H166" s="12" t="s">
        <v>21</v>
      </c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1:28" ht="12.75">
      <c r="A167" s="5"/>
      <c r="B167" s="5"/>
      <c r="C167" s="5"/>
      <c r="D167" s="5"/>
      <c r="E167" s="5"/>
      <c r="F167" s="5"/>
      <c r="G167" s="5"/>
      <c r="H167" s="5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1:28" ht="12.75">
      <c r="A168" s="7">
        <v>100</v>
      </c>
      <c r="B168" s="5" t="s">
        <v>22</v>
      </c>
      <c r="C168" s="8">
        <v>99985.6</v>
      </c>
      <c r="D168" s="8">
        <v>99985.6</v>
      </c>
      <c r="E168" s="8">
        <v>100370.16</v>
      </c>
      <c r="F168" s="8">
        <v>104385</v>
      </c>
      <c r="G168" s="8">
        <f aca="true" t="shared" si="32" ref="G168:G177">F168-E168</f>
        <v>4014.8399999999965</v>
      </c>
      <c r="H168" s="10">
        <f aca="true" t="shared" si="33" ref="H168:H171">G168/E168</f>
        <v>0.0400003347608492</v>
      </c>
      <c r="I168" s="2" t="s">
        <v>73</v>
      </c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1:28" ht="12.75">
      <c r="A169" s="7">
        <v>200</v>
      </c>
      <c r="B169" s="5" t="s">
        <v>10</v>
      </c>
      <c r="C169" s="8">
        <v>42216.63</v>
      </c>
      <c r="D169" s="8">
        <v>49399.73</v>
      </c>
      <c r="E169" s="8">
        <v>52987.97</v>
      </c>
      <c r="F169" s="8">
        <v>50167.36</v>
      </c>
      <c r="G169" s="8">
        <f t="shared" si="32"/>
        <v>-2820.6100000000006</v>
      </c>
      <c r="H169" s="10">
        <f t="shared" si="33"/>
        <v>-0.05323113906798091</v>
      </c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:28" ht="12.75">
      <c r="A170" s="7">
        <v>300</v>
      </c>
      <c r="B170" s="5" t="s">
        <v>23</v>
      </c>
      <c r="C170" s="8">
        <v>33857.8</v>
      </c>
      <c r="D170" s="8">
        <v>52591.04</v>
      </c>
      <c r="E170" s="8">
        <v>64009.33</v>
      </c>
      <c r="F170" s="8">
        <v>72749.33</v>
      </c>
      <c r="G170" s="8">
        <f t="shared" si="32"/>
        <v>8740</v>
      </c>
      <c r="H170" s="10">
        <f t="shared" si="33"/>
        <v>0.1365425946498737</v>
      </c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1:28" ht="12.75">
      <c r="A171" s="7">
        <v>400</v>
      </c>
      <c r="B171" s="5" t="s">
        <v>79</v>
      </c>
      <c r="C171" s="8">
        <v>114775.67</v>
      </c>
      <c r="D171" s="8">
        <v>134133.51</v>
      </c>
      <c r="E171" s="8">
        <v>144620</v>
      </c>
      <c r="F171" s="8">
        <v>154620</v>
      </c>
      <c r="G171" s="8">
        <f t="shared" si="32"/>
        <v>10000</v>
      </c>
      <c r="H171" s="10">
        <f t="shared" si="33"/>
        <v>0.06914672935970129</v>
      </c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:28" ht="12.75">
      <c r="A172" s="7">
        <v>561</v>
      </c>
      <c r="B172" s="5" t="s">
        <v>25</v>
      </c>
      <c r="C172" s="8">
        <v>0</v>
      </c>
      <c r="D172" s="8">
        <v>0</v>
      </c>
      <c r="E172" s="8">
        <v>0</v>
      </c>
      <c r="F172" s="8">
        <v>0</v>
      </c>
      <c r="G172" s="8">
        <f t="shared" si="32"/>
        <v>0</v>
      </c>
      <c r="H172" s="10">
        <v>0</v>
      </c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:28" ht="12.75">
      <c r="A173" s="7">
        <v>593</v>
      </c>
      <c r="B173" s="5" t="s">
        <v>26</v>
      </c>
      <c r="C173" s="8">
        <v>0</v>
      </c>
      <c r="D173" s="8">
        <v>0</v>
      </c>
      <c r="E173" s="8">
        <v>0</v>
      </c>
      <c r="F173" s="8">
        <v>0</v>
      </c>
      <c r="G173" s="8">
        <f t="shared" si="32"/>
        <v>0</v>
      </c>
      <c r="H173" s="10">
        <v>0</v>
      </c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:28" ht="12.75">
      <c r="A174" s="7">
        <v>566</v>
      </c>
      <c r="B174" s="5" t="s">
        <v>27</v>
      </c>
      <c r="C174" s="8">
        <v>0</v>
      </c>
      <c r="D174" s="8">
        <v>0</v>
      </c>
      <c r="E174" s="8">
        <v>0</v>
      </c>
      <c r="F174" s="8">
        <v>0</v>
      </c>
      <c r="G174" s="8">
        <f t="shared" si="32"/>
        <v>0</v>
      </c>
      <c r="H174" s="10">
        <v>0</v>
      </c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:28" ht="12.75">
      <c r="A175" s="7">
        <v>500</v>
      </c>
      <c r="B175" s="5" t="s">
        <v>28</v>
      </c>
      <c r="C175" s="8">
        <v>714.12</v>
      </c>
      <c r="D175" s="8">
        <v>1032.85</v>
      </c>
      <c r="E175" s="8">
        <v>1000</v>
      </c>
      <c r="F175" s="8">
        <v>1000</v>
      </c>
      <c r="G175" s="8">
        <f t="shared" si="32"/>
        <v>0</v>
      </c>
      <c r="H175" s="10">
        <f aca="true" t="shared" si="34" ref="H175:H177">G175/E175</f>
        <v>0</v>
      </c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1:28" ht="12.75">
      <c r="A176" s="7">
        <v>600</v>
      </c>
      <c r="B176" s="5" t="s">
        <v>29</v>
      </c>
      <c r="C176" s="8">
        <v>26867.44</v>
      </c>
      <c r="D176" s="8">
        <v>7666.88</v>
      </c>
      <c r="E176" s="8">
        <v>15400</v>
      </c>
      <c r="F176" s="8">
        <v>15400</v>
      </c>
      <c r="G176" s="8">
        <f t="shared" si="32"/>
        <v>0</v>
      </c>
      <c r="H176" s="10">
        <f t="shared" si="34"/>
        <v>0</v>
      </c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1:28" ht="12.75">
      <c r="A177" s="7">
        <v>700</v>
      </c>
      <c r="B177" s="5" t="s">
        <v>30</v>
      </c>
      <c r="C177" s="8">
        <v>35764.54</v>
      </c>
      <c r="D177" s="8">
        <v>47355.58</v>
      </c>
      <c r="E177" s="8">
        <v>34400</v>
      </c>
      <c r="F177" s="8">
        <v>52000</v>
      </c>
      <c r="G177" s="8">
        <f t="shared" si="32"/>
        <v>17600</v>
      </c>
      <c r="H177" s="10">
        <f t="shared" si="34"/>
        <v>0.5116279069767442</v>
      </c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1:28" ht="12.75">
      <c r="A178" s="7">
        <v>800</v>
      </c>
      <c r="B178" s="5" t="s">
        <v>31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10">
        <v>0</v>
      </c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1:28" ht="12.75">
      <c r="A179" s="7">
        <v>900</v>
      </c>
      <c r="B179" s="5" t="s">
        <v>32</v>
      </c>
      <c r="C179" s="8">
        <v>0</v>
      </c>
      <c r="D179" s="8">
        <v>0</v>
      </c>
      <c r="E179" s="8">
        <v>0</v>
      </c>
      <c r="F179" s="8">
        <v>0</v>
      </c>
      <c r="G179" s="8">
        <f>F179-E179</f>
        <v>0</v>
      </c>
      <c r="H179" s="10">
        <v>0</v>
      </c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1:28" ht="12.75">
      <c r="A180" s="5"/>
      <c r="B180" s="5"/>
      <c r="C180" s="8">
        <f aca="true" t="shared" si="35" ref="C180:G180">SUM(C168:C179)</f>
        <v>354181.8</v>
      </c>
      <c r="D180" s="8">
        <f t="shared" si="35"/>
        <v>392165.19000000006</v>
      </c>
      <c r="E180" s="8">
        <f t="shared" si="35"/>
        <v>412787.45999999996</v>
      </c>
      <c r="F180" s="8">
        <f t="shared" si="35"/>
        <v>450321.69</v>
      </c>
      <c r="G180" s="8">
        <f t="shared" si="35"/>
        <v>37534.229999999996</v>
      </c>
      <c r="H180" s="10">
        <f>G180/E180</f>
        <v>0.09092870699124435</v>
      </c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1:28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1:28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1:28" ht="12.75">
      <c r="A183" s="2"/>
      <c r="B183" s="2" t="s">
        <v>80</v>
      </c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1:28" ht="12.75">
      <c r="A184" s="5"/>
      <c r="B184" s="11" t="s">
        <v>16</v>
      </c>
      <c r="C184" s="12" t="s">
        <v>17</v>
      </c>
      <c r="D184" s="12" t="s">
        <v>18</v>
      </c>
      <c r="E184" s="12" t="s">
        <v>19</v>
      </c>
      <c r="F184" s="12" t="s">
        <v>20</v>
      </c>
      <c r="G184" s="11" t="s">
        <v>7</v>
      </c>
      <c r="H184" s="12" t="s">
        <v>21</v>
      </c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 ht="12.75">
      <c r="A185" s="5"/>
      <c r="B185" s="5"/>
      <c r="C185" s="5"/>
      <c r="D185" s="5"/>
      <c r="E185" s="5"/>
      <c r="F185" s="5"/>
      <c r="G185" s="5"/>
      <c r="H185" s="5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:28" ht="12.75">
      <c r="A186" s="7">
        <v>100</v>
      </c>
      <c r="B186" s="5" t="s">
        <v>22</v>
      </c>
      <c r="C186" s="8">
        <v>387504.07</v>
      </c>
      <c r="D186" s="8">
        <v>329815.6</v>
      </c>
      <c r="E186" s="8">
        <v>380797.04</v>
      </c>
      <c r="F186" s="8">
        <v>374479</v>
      </c>
      <c r="G186" s="8">
        <f aca="true" t="shared" si="36" ref="G186:G197">F186-E186</f>
        <v>-6318.039999999979</v>
      </c>
      <c r="H186" s="10">
        <f aca="true" t="shared" si="37" ref="H186:H189">G186/E186</f>
        <v>-0.016591620565117784</v>
      </c>
      <c r="I186" s="2" t="s">
        <v>81</v>
      </c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ht="12.75">
      <c r="A187" s="7">
        <v>200</v>
      </c>
      <c r="B187" s="5" t="s">
        <v>10</v>
      </c>
      <c r="C187" s="8">
        <v>129993.98</v>
      </c>
      <c r="D187" s="8">
        <v>139671.53</v>
      </c>
      <c r="E187" s="8">
        <v>159281.67</v>
      </c>
      <c r="F187" s="8">
        <v>136578.4</v>
      </c>
      <c r="G187" s="8">
        <f t="shared" si="36"/>
        <v>-22703.27000000002</v>
      </c>
      <c r="H187" s="10">
        <f t="shared" si="37"/>
        <v>-0.1425353589022517</v>
      </c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ht="12.75">
      <c r="A188" s="7">
        <v>300</v>
      </c>
      <c r="B188" s="5" t="s">
        <v>23</v>
      </c>
      <c r="C188" s="8">
        <v>8861.79</v>
      </c>
      <c r="D188" s="8">
        <v>10322.33</v>
      </c>
      <c r="E188" s="8">
        <v>12500</v>
      </c>
      <c r="F188" s="8">
        <v>44554</v>
      </c>
      <c r="G188" s="8">
        <f t="shared" si="36"/>
        <v>32054</v>
      </c>
      <c r="H188" s="10">
        <f t="shared" si="37"/>
        <v>2.56432</v>
      </c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ht="12.75">
      <c r="A189" s="7">
        <v>400</v>
      </c>
      <c r="B189" s="5" t="s">
        <v>24</v>
      </c>
      <c r="C189" s="8">
        <v>220306.76</v>
      </c>
      <c r="D189" s="8">
        <v>205274.19</v>
      </c>
      <c r="E189" s="8">
        <f>216065+5970</f>
        <v>222035</v>
      </c>
      <c r="F189" s="8">
        <v>226580</v>
      </c>
      <c r="G189" s="8">
        <f t="shared" si="36"/>
        <v>4545</v>
      </c>
      <c r="H189" s="10">
        <f t="shared" si="37"/>
        <v>0.020469745760803477</v>
      </c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 ht="12.75">
      <c r="A190" s="7">
        <v>561</v>
      </c>
      <c r="B190" s="5" t="s">
        <v>25</v>
      </c>
      <c r="C190" s="8">
        <v>0</v>
      </c>
      <c r="D190" s="8">
        <v>0</v>
      </c>
      <c r="E190" s="8">
        <v>0</v>
      </c>
      <c r="F190" s="8">
        <v>0</v>
      </c>
      <c r="G190" s="8">
        <f t="shared" si="36"/>
        <v>0</v>
      </c>
      <c r="H190" s="10">
        <v>0</v>
      </c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ht="12.75">
      <c r="A191" s="7">
        <v>593</v>
      </c>
      <c r="B191" s="5" t="s">
        <v>26</v>
      </c>
      <c r="C191" s="8">
        <v>0</v>
      </c>
      <c r="D191" s="8">
        <v>0</v>
      </c>
      <c r="E191" s="8">
        <v>0</v>
      </c>
      <c r="F191" s="8">
        <v>0</v>
      </c>
      <c r="G191" s="8">
        <f t="shared" si="36"/>
        <v>0</v>
      </c>
      <c r="H191" s="10">
        <v>0</v>
      </c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ht="12.75">
      <c r="A192" s="7">
        <v>566</v>
      </c>
      <c r="B192" s="5" t="s">
        <v>27</v>
      </c>
      <c r="C192" s="8">
        <v>0</v>
      </c>
      <c r="D192" s="8">
        <v>0</v>
      </c>
      <c r="E192" s="8">
        <v>0</v>
      </c>
      <c r="F192" s="8">
        <v>0</v>
      </c>
      <c r="G192" s="8">
        <f t="shared" si="36"/>
        <v>0</v>
      </c>
      <c r="H192" s="10">
        <v>0</v>
      </c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 ht="12.75">
      <c r="A193" s="7">
        <v>500</v>
      </c>
      <c r="B193" s="5" t="s">
        <v>28</v>
      </c>
      <c r="C193" s="8">
        <v>126911.05</v>
      </c>
      <c r="D193" s="8">
        <v>136767.06</v>
      </c>
      <c r="E193" s="8">
        <v>141950</v>
      </c>
      <c r="F193" s="8">
        <v>141950</v>
      </c>
      <c r="G193" s="8">
        <f t="shared" si="36"/>
        <v>0</v>
      </c>
      <c r="H193" s="10">
        <f aca="true" t="shared" si="38" ref="H193:H195">G193/E193</f>
        <v>0</v>
      </c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 ht="12.75">
      <c r="A194" s="7">
        <v>600</v>
      </c>
      <c r="B194" s="5" t="s">
        <v>29</v>
      </c>
      <c r="C194" s="8">
        <v>328248.25</v>
      </c>
      <c r="D194" s="8">
        <v>320679.27</v>
      </c>
      <c r="E194" s="8">
        <v>403812</v>
      </c>
      <c r="F194" s="8">
        <v>403812</v>
      </c>
      <c r="G194" s="8">
        <f t="shared" si="36"/>
        <v>0</v>
      </c>
      <c r="H194" s="10">
        <f t="shared" si="38"/>
        <v>0</v>
      </c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 ht="12.75">
      <c r="A195" s="7">
        <v>700</v>
      </c>
      <c r="B195" s="5" t="s">
        <v>30</v>
      </c>
      <c r="C195" s="8">
        <v>12850.12</v>
      </c>
      <c r="D195" s="8">
        <v>15513.84</v>
      </c>
      <c r="E195" s="8">
        <v>30000</v>
      </c>
      <c r="F195" s="8">
        <v>30000</v>
      </c>
      <c r="G195" s="8">
        <f t="shared" si="36"/>
        <v>0</v>
      </c>
      <c r="H195" s="10">
        <f t="shared" si="38"/>
        <v>0</v>
      </c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 ht="12.75">
      <c r="A196" s="7">
        <v>800</v>
      </c>
      <c r="B196" s="5" t="s">
        <v>31</v>
      </c>
      <c r="C196" s="8">
        <v>0</v>
      </c>
      <c r="D196" s="8">
        <v>0</v>
      </c>
      <c r="E196" s="8">
        <v>0</v>
      </c>
      <c r="F196" s="8">
        <v>0</v>
      </c>
      <c r="G196" s="8">
        <f t="shared" si="36"/>
        <v>0</v>
      </c>
      <c r="H196" s="10">
        <v>0</v>
      </c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 ht="12.75">
      <c r="A197" s="7">
        <v>900</v>
      </c>
      <c r="B197" s="5" t="s">
        <v>32</v>
      </c>
      <c r="C197" s="8">
        <v>3500</v>
      </c>
      <c r="D197" s="8">
        <v>43500</v>
      </c>
      <c r="E197" s="8">
        <v>43500</v>
      </c>
      <c r="F197" s="8">
        <v>43500</v>
      </c>
      <c r="G197" s="8">
        <f t="shared" si="36"/>
        <v>0</v>
      </c>
      <c r="H197" s="10">
        <f aca="true" t="shared" si="39" ref="H197:H198">G197/E197</f>
        <v>0</v>
      </c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1:28" ht="12.75">
      <c r="A198" s="5"/>
      <c r="B198" s="5"/>
      <c r="C198" s="8">
        <f aca="true" t="shared" si="40" ref="C198:G198">SUM(C186:C197)</f>
        <v>1218176.02</v>
      </c>
      <c r="D198" s="8">
        <f t="shared" si="40"/>
        <v>1201543.8199999998</v>
      </c>
      <c r="E198" s="8">
        <f t="shared" si="40"/>
        <v>1393875.71</v>
      </c>
      <c r="F198" s="8">
        <f t="shared" si="40"/>
        <v>1401453.4</v>
      </c>
      <c r="G198" s="8">
        <f t="shared" si="40"/>
        <v>7577.690000000002</v>
      </c>
      <c r="H198" s="10">
        <f t="shared" si="39"/>
        <v>0.005436417282858027</v>
      </c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 ht="12.75">
      <c r="A201" s="2"/>
      <c r="B201" s="2" t="s">
        <v>82</v>
      </c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 ht="12.75">
      <c r="A202" s="5"/>
      <c r="B202" s="11" t="s">
        <v>16</v>
      </c>
      <c r="C202" s="12" t="s">
        <v>17</v>
      </c>
      <c r="D202" s="12" t="s">
        <v>18</v>
      </c>
      <c r="E202" s="12" t="s">
        <v>19</v>
      </c>
      <c r="F202" s="12" t="s">
        <v>20</v>
      </c>
      <c r="G202" s="11" t="s">
        <v>7</v>
      </c>
      <c r="H202" s="12" t="s">
        <v>21</v>
      </c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 ht="12.75">
      <c r="A203" s="5"/>
      <c r="B203" s="5"/>
      <c r="C203" s="5"/>
      <c r="D203" s="5"/>
      <c r="E203" s="5"/>
      <c r="F203" s="5"/>
      <c r="G203" s="5"/>
      <c r="H203" s="5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ht="12.75">
      <c r="A204" s="7">
        <v>100</v>
      </c>
      <c r="B204" s="5" t="s">
        <v>22</v>
      </c>
      <c r="C204" s="8">
        <v>861162.98</v>
      </c>
      <c r="D204" s="8">
        <v>689157.08</v>
      </c>
      <c r="E204" s="8">
        <f>845188.5-4448</f>
        <v>840740.5</v>
      </c>
      <c r="F204" s="8">
        <v>932729</v>
      </c>
      <c r="G204" s="8">
        <f aca="true" t="shared" si="41" ref="G204:G215">F204-E204</f>
        <v>91988.5</v>
      </c>
      <c r="H204" s="10">
        <f aca="true" t="shared" si="42" ref="H204:H205">G204/E204</f>
        <v>0.10941366569113775</v>
      </c>
      <c r="I204" s="2" t="s">
        <v>83</v>
      </c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 ht="12.75">
      <c r="A205" s="7">
        <v>200</v>
      </c>
      <c r="B205" s="5" t="s">
        <v>10</v>
      </c>
      <c r="C205" s="8">
        <v>286365.04</v>
      </c>
      <c r="D205" s="8">
        <v>292148.96</v>
      </c>
      <c r="E205" s="8">
        <f>370772.08-5597</f>
        <v>365175.08</v>
      </c>
      <c r="F205" s="8">
        <v>397710.6</v>
      </c>
      <c r="G205" s="8">
        <f t="shared" si="41"/>
        <v>32535.51999999996</v>
      </c>
      <c r="H205" s="10">
        <f t="shared" si="42"/>
        <v>0.0890956743269556</v>
      </c>
      <c r="I205" s="2" t="s">
        <v>3</v>
      </c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 ht="12.75">
      <c r="A206" s="7">
        <v>300</v>
      </c>
      <c r="B206" s="5" t="s">
        <v>23</v>
      </c>
      <c r="C206" s="8">
        <v>34732.83</v>
      </c>
      <c r="D206" s="8">
        <v>0</v>
      </c>
      <c r="E206" s="8">
        <v>0</v>
      </c>
      <c r="F206" s="8">
        <v>0</v>
      </c>
      <c r="G206" s="8">
        <f t="shared" si="41"/>
        <v>0</v>
      </c>
      <c r="H206" s="10">
        <v>0</v>
      </c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 ht="12.75">
      <c r="A207" s="7">
        <v>400</v>
      </c>
      <c r="B207" s="5" t="s">
        <v>24</v>
      </c>
      <c r="C207" s="8">
        <v>0</v>
      </c>
      <c r="D207" s="8">
        <v>0</v>
      </c>
      <c r="E207" s="8">
        <v>0</v>
      </c>
      <c r="F207" s="8">
        <v>0</v>
      </c>
      <c r="G207" s="8">
        <f t="shared" si="41"/>
        <v>0</v>
      </c>
      <c r="H207" s="10">
        <v>0</v>
      </c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 ht="12.75">
      <c r="A208" s="7">
        <v>561</v>
      </c>
      <c r="B208" s="5" t="s">
        <v>25</v>
      </c>
      <c r="C208" s="8">
        <v>0</v>
      </c>
      <c r="D208" s="8">
        <v>0</v>
      </c>
      <c r="E208" s="8">
        <v>0</v>
      </c>
      <c r="F208" s="8">
        <v>0</v>
      </c>
      <c r="G208" s="8">
        <f t="shared" si="41"/>
        <v>0</v>
      </c>
      <c r="H208" s="10">
        <v>0</v>
      </c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 ht="12.75">
      <c r="A209" s="7">
        <v>593</v>
      </c>
      <c r="B209" s="5" t="s">
        <v>26</v>
      </c>
      <c r="C209" s="8">
        <v>1128713.43</v>
      </c>
      <c r="D209" s="8">
        <v>1048390</v>
      </c>
      <c r="E209" s="8">
        <f>1138429.9+90983.66-19105.13</f>
        <v>1210308.43</v>
      </c>
      <c r="F209" s="8">
        <f>1231341+87410.79</f>
        <v>1318751.79</v>
      </c>
      <c r="G209" s="8">
        <f t="shared" si="41"/>
        <v>108443.3600000001</v>
      </c>
      <c r="H209" s="10">
        <f>G209/E209</f>
        <v>0.08959977251418476</v>
      </c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 ht="12.75">
      <c r="A210" s="7">
        <v>566</v>
      </c>
      <c r="B210" s="5" t="s">
        <v>27</v>
      </c>
      <c r="C210" s="8">
        <v>0</v>
      </c>
      <c r="D210" s="8">
        <v>0</v>
      </c>
      <c r="E210" s="8">
        <v>0</v>
      </c>
      <c r="F210" s="8">
        <v>0</v>
      </c>
      <c r="G210" s="8">
        <f t="shared" si="41"/>
        <v>0</v>
      </c>
      <c r="H210" s="10">
        <v>0</v>
      </c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 ht="12.75">
      <c r="A211" s="7">
        <v>500</v>
      </c>
      <c r="B211" s="5" t="s">
        <v>28</v>
      </c>
      <c r="C211" s="8">
        <v>0</v>
      </c>
      <c r="D211" s="8">
        <v>0</v>
      </c>
      <c r="E211" s="8">
        <v>0</v>
      </c>
      <c r="F211" s="8">
        <v>0</v>
      </c>
      <c r="G211" s="8">
        <f t="shared" si="41"/>
        <v>0</v>
      </c>
      <c r="H211" s="10">
        <v>0</v>
      </c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 ht="12.75">
      <c r="A212" s="7">
        <v>600</v>
      </c>
      <c r="B212" s="5" t="s">
        <v>29</v>
      </c>
      <c r="C212" s="8">
        <v>0</v>
      </c>
      <c r="D212" s="8">
        <v>0</v>
      </c>
      <c r="E212" s="8">
        <v>0</v>
      </c>
      <c r="F212" s="8">
        <v>0</v>
      </c>
      <c r="G212" s="8">
        <f t="shared" si="41"/>
        <v>0</v>
      </c>
      <c r="H212" s="10">
        <v>0</v>
      </c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1:28" ht="12.75">
      <c r="A213" s="7">
        <v>700</v>
      </c>
      <c r="B213" s="5" t="s">
        <v>30</v>
      </c>
      <c r="C213" s="8">
        <v>0</v>
      </c>
      <c r="D213" s="8">
        <v>0</v>
      </c>
      <c r="E213" s="8">
        <v>0</v>
      </c>
      <c r="F213" s="8">
        <v>0</v>
      </c>
      <c r="G213" s="8">
        <f t="shared" si="41"/>
        <v>0</v>
      </c>
      <c r="H213" s="10">
        <v>0</v>
      </c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1:28" ht="12.75">
      <c r="A214" s="7">
        <v>800</v>
      </c>
      <c r="B214" s="5" t="s">
        <v>31</v>
      </c>
      <c r="C214" s="8">
        <v>0</v>
      </c>
      <c r="D214" s="8">
        <v>0</v>
      </c>
      <c r="E214" s="8">
        <v>0</v>
      </c>
      <c r="F214" s="8">
        <v>0</v>
      </c>
      <c r="G214" s="8">
        <f t="shared" si="41"/>
        <v>0</v>
      </c>
      <c r="H214" s="10">
        <v>0</v>
      </c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1:28" ht="12.75">
      <c r="A215" s="7">
        <v>900</v>
      </c>
      <c r="B215" s="5" t="s">
        <v>32</v>
      </c>
      <c r="C215" s="8">
        <v>0</v>
      </c>
      <c r="D215" s="8">
        <v>0</v>
      </c>
      <c r="E215" s="8">
        <v>0</v>
      </c>
      <c r="F215" s="8">
        <v>0</v>
      </c>
      <c r="G215" s="8">
        <f t="shared" si="41"/>
        <v>0</v>
      </c>
      <c r="H215" s="10">
        <v>0</v>
      </c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1:28" ht="12.75">
      <c r="A216" s="5"/>
      <c r="B216" s="5"/>
      <c r="C216" s="8">
        <f aca="true" t="shared" si="43" ref="C216:G216">SUM(C204:C215)</f>
        <v>2310974.28</v>
      </c>
      <c r="D216" s="8">
        <f t="shared" si="43"/>
        <v>2029696.04</v>
      </c>
      <c r="E216" s="8">
        <f t="shared" si="43"/>
        <v>2416224.01</v>
      </c>
      <c r="F216" s="8">
        <f t="shared" si="43"/>
        <v>2649191.39</v>
      </c>
      <c r="G216" s="8">
        <f t="shared" si="43"/>
        <v>232967.38000000006</v>
      </c>
      <c r="H216" s="10">
        <f>G216/E216</f>
        <v>0.09641795588315509</v>
      </c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1:28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1:28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1:28" ht="12.75">
      <c r="A219" s="2"/>
      <c r="B219" s="2" t="s">
        <v>84</v>
      </c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1:28" ht="12.75">
      <c r="A220" s="5"/>
      <c r="B220" s="11" t="s">
        <v>16</v>
      </c>
      <c r="C220" s="12" t="s">
        <v>17</v>
      </c>
      <c r="D220" s="12" t="s">
        <v>18</v>
      </c>
      <c r="E220" s="12" t="s">
        <v>19</v>
      </c>
      <c r="F220" s="12" t="s">
        <v>20</v>
      </c>
      <c r="G220" s="11" t="s">
        <v>7</v>
      </c>
      <c r="H220" s="12" t="s">
        <v>21</v>
      </c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1:28" ht="12.75">
      <c r="A221" s="5"/>
      <c r="B221" s="5"/>
      <c r="C221" s="5"/>
      <c r="D221" s="5"/>
      <c r="E221" s="5"/>
      <c r="F221" s="5"/>
      <c r="G221" s="5"/>
      <c r="H221" s="5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1:28" ht="12.75">
      <c r="A222" s="7">
        <v>100</v>
      </c>
      <c r="B222" s="5" t="s">
        <v>22</v>
      </c>
      <c r="C222" s="8">
        <v>0</v>
      </c>
      <c r="D222" s="8">
        <v>0</v>
      </c>
      <c r="E222" s="8">
        <v>0</v>
      </c>
      <c r="F222" s="8">
        <v>0</v>
      </c>
      <c r="G222" s="8">
        <f aca="true" t="shared" si="44" ref="G222:G233">F222-E222</f>
        <v>0</v>
      </c>
      <c r="H222" s="10">
        <v>0</v>
      </c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pans="1:28" ht="12.75">
      <c r="A223" s="7">
        <v>200</v>
      </c>
      <c r="B223" s="5" t="s">
        <v>10</v>
      </c>
      <c r="C223" s="8">
        <v>0</v>
      </c>
      <c r="D223" s="8">
        <v>0</v>
      </c>
      <c r="E223" s="8">
        <v>0</v>
      </c>
      <c r="F223" s="8">
        <v>0</v>
      </c>
      <c r="G223" s="8">
        <f t="shared" si="44"/>
        <v>0</v>
      </c>
      <c r="H223" s="10">
        <v>0</v>
      </c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1:28" ht="12.75">
      <c r="A224" s="7">
        <v>300</v>
      </c>
      <c r="B224" s="5" t="s">
        <v>23</v>
      </c>
      <c r="C224" s="8">
        <v>0</v>
      </c>
      <c r="D224" s="8">
        <v>0</v>
      </c>
      <c r="E224" s="8">
        <v>0</v>
      </c>
      <c r="F224" s="8">
        <v>0</v>
      </c>
      <c r="G224" s="8">
        <f t="shared" si="44"/>
        <v>0</v>
      </c>
      <c r="H224" s="10">
        <v>0</v>
      </c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1:28" ht="12.75">
      <c r="A225" s="7">
        <v>400</v>
      </c>
      <c r="B225" s="5" t="s">
        <v>24</v>
      </c>
      <c r="C225" s="8">
        <v>0</v>
      </c>
      <c r="D225" s="8">
        <v>0</v>
      </c>
      <c r="E225" s="8">
        <v>0</v>
      </c>
      <c r="F225" s="8">
        <v>0</v>
      </c>
      <c r="G225" s="8">
        <f t="shared" si="44"/>
        <v>0</v>
      </c>
      <c r="H225" s="10">
        <v>0</v>
      </c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1:28" ht="12.75">
      <c r="A226" s="7">
        <v>561</v>
      </c>
      <c r="B226" s="5" t="s">
        <v>25</v>
      </c>
      <c r="C226" s="8">
        <v>0</v>
      </c>
      <c r="D226" s="8">
        <v>0</v>
      </c>
      <c r="E226" s="8">
        <v>0</v>
      </c>
      <c r="F226" s="8">
        <v>0</v>
      </c>
      <c r="G226" s="8">
        <f t="shared" si="44"/>
        <v>0</v>
      </c>
      <c r="H226" s="10">
        <v>0</v>
      </c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1:28" ht="12.75">
      <c r="A227" s="7">
        <v>593</v>
      </c>
      <c r="B227" s="5" t="s">
        <v>26</v>
      </c>
      <c r="C227" s="8">
        <v>54316.89</v>
      </c>
      <c r="D227" s="8">
        <v>33254.06</v>
      </c>
      <c r="E227" s="8">
        <v>62741</v>
      </c>
      <c r="F227" s="8">
        <v>59340</v>
      </c>
      <c r="G227" s="8">
        <f t="shared" si="44"/>
        <v>-3401</v>
      </c>
      <c r="H227" s="10">
        <v>0</v>
      </c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1:28" ht="12.75">
      <c r="A228" s="7">
        <v>566</v>
      </c>
      <c r="B228" s="5" t="s">
        <v>27</v>
      </c>
      <c r="C228" s="8">
        <v>0</v>
      </c>
      <c r="D228" s="8">
        <v>0</v>
      </c>
      <c r="E228" s="8">
        <v>0</v>
      </c>
      <c r="F228" s="8">
        <v>0</v>
      </c>
      <c r="G228" s="8">
        <f t="shared" si="44"/>
        <v>0</v>
      </c>
      <c r="H228" s="10">
        <v>0</v>
      </c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1:28" ht="12.75">
      <c r="A229" s="7">
        <v>500</v>
      </c>
      <c r="B229" s="5" t="s">
        <v>28</v>
      </c>
      <c r="C229" s="8">
        <v>0</v>
      </c>
      <c r="D229" s="8">
        <v>0</v>
      </c>
      <c r="E229" s="8">
        <v>0</v>
      </c>
      <c r="F229" s="8">
        <v>0</v>
      </c>
      <c r="G229" s="8">
        <f t="shared" si="44"/>
        <v>0</v>
      </c>
      <c r="H229" s="10">
        <v>0</v>
      </c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1:28" ht="12.75">
      <c r="A230" s="7">
        <v>600</v>
      </c>
      <c r="B230" s="5" t="s">
        <v>29</v>
      </c>
      <c r="C230" s="8">
        <f>253+237.3</f>
        <v>490.3</v>
      </c>
      <c r="D230" s="8">
        <v>0</v>
      </c>
      <c r="E230" s="8">
        <v>0</v>
      </c>
      <c r="F230" s="8">
        <v>0</v>
      </c>
      <c r="G230" s="8">
        <f t="shared" si="44"/>
        <v>0</v>
      </c>
      <c r="H230" s="10">
        <v>0</v>
      </c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1:28" ht="12.75">
      <c r="A231" s="7">
        <v>700</v>
      </c>
      <c r="B231" s="5" t="s">
        <v>30</v>
      </c>
      <c r="C231" s="8">
        <v>0</v>
      </c>
      <c r="D231" s="8">
        <v>0</v>
      </c>
      <c r="E231" s="8">
        <v>0</v>
      </c>
      <c r="F231" s="8">
        <v>0</v>
      </c>
      <c r="G231" s="8">
        <f t="shared" si="44"/>
        <v>0</v>
      </c>
      <c r="H231" s="10">
        <v>0</v>
      </c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1:28" ht="12.75">
      <c r="A232" s="7">
        <v>800</v>
      </c>
      <c r="B232" s="5" t="s">
        <v>31</v>
      </c>
      <c r="C232" s="8">
        <v>0</v>
      </c>
      <c r="D232" s="8">
        <v>0</v>
      </c>
      <c r="E232" s="8">
        <v>0</v>
      </c>
      <c r="F232" s="8">
        <v>0</v>
      </c>
      <c r="G232" s="8">
        <f t="shared" si="44"/>
        <v>0</v>
      </c>
      <c r="H232" s="10">
        <v>0</v>
      </c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pans="1:28" ht="12.75">
      <c r="A233" s="7">
        <v>900</v>
      </c>
      <c r="B233" s="5" t="s">
        <v>32</v>
      </c>
      <c r="C233" s="8">
        <v>0</v>
      </c>
      <c r="D233" s="8">
        <v>0</v>
      </c>
      <c r="E233" s="8">
        <v>0</v>
      </c>
      <c r="F233" s="8">
        <v>0</v>
      </c>
      <c r="G233" s="8">
        <f t="shared" si="44"/>
        <v>0</v>
      </c>
      <c r="H233" s="10">
        <v>0</v>
      </c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spans="1:28" ht="12.75">
      <c r="A234" s="5"/>
      <c r="B234" s="5"/>
      <c r="C234" s="8">
        <f aca="true" t="shared" si="45" ref="C234:G234">SUM(C222:C233)</f>
        <v>54807.19</v>
      </c>
      <c r="D234" s="8">
        <f t="shared" si="45"/>
        <v>33254.06</v>
      </c>
      <c r="E234" s="8">
        <f t="shared" si="45"/>
        <v>62741</v>
      </c>
      <c r="F234" s="8">
        <f t="shared" si="45"/>
        <v>59340</v>
      </c>
      <c r="G234" s="8">
        <f t="shared" si="45"/>
        <v>-3401</v>
      </c>
      <c r="H234" s="10">
        <f>G234/E234</f>
        <v>-0.05420697789324365</v>
      </c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 spans="1:28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</row>
    <row r="236" spans="1:28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</row>
    <row r="237" spans="1:28" ht="12.75">
      <c r="A237" s="2"/>
      <c r="B237" s="2" t="s">
        <v>85</v>
      </c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</row>
    <row r="238" spans="1:28" ht="12.75">
      <c r="A238" s="5"/>
      <c r="B238" s="11" t="s">
        <v>16</v>
      </c>
      <c r="C238" s="12" t="s">
        <v>17</v>
      </c>
      <c r="D238" s="12" t="s">
        <v>18</v>
      </c>
      <c r="E238" s="12" t="s">
        <v>19</v>
      </c>
      <c r="F238" s="12" t="s">
        <v>20</v>
      </c>
      <c r="G238" s="11" t="s">
        <v>7</v>
      </c>
      <c r="H238" s="12" t="s">
        <v>21</v>
      </c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</row>
    <row r="239" spans="1:28" ht="12.75">
      <c r="A239" s="5"/>
      <c r="B239" s="5"/>
      <c r="C239" s="5"/>
      <c r="D239" s="5"/>
      <c r="E239" s="5"/>
      <c r="F239" s="5"/>
      <c r="G239" s="5"/>
      <c r="H239" s="5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</row>
    <row r="240" spans="1:28" ht="12.75">
      <c r="A240" s="7">
        <v>100</v>
      </c>
      <c r="B240" s="5" t="s">
        <v>22</v>
      </c>
      <c r="C240" s="8">
        <f>4350+11212.88</f>
        <v>15562.88</v>
      </c>
      <c r="D240" s="8">
        <v>13687.5</v>
      </c>
      <c r="E240" s="8">
        <f aca="true" t="shared" si="46" ref="E240:F240">7200+6000</f>
        <v>13200</v>
      </c>
      <c r="F240" s="8">
        <f t="shared" si="46"/>
        <v>13200</v>
      </c>
      <c r="G240" s="8">
        <f aca="true" t="shared" si="47" ref="G240:G251">F240-E240</f>
        <v>0</v>
      </c>
      <c r="H240" s="10">
        <v>0</v>
      </c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</row>
    <row r="241" spans="1:28" ht="12.75">
      <c r="A241" s="7">
        <v>200</v>
      </c>
      <c r="B241" s="5" t="s">
        <v>10</v>
      </c>
      <c r="C241" s="8">
        <f>331.78+5.17+26.1+857.83+15.28+67.27</f>
        <v>1303.43</v>
      </c>
      <c r="D241" s="8">
        <f>1047.15+12.42+96.7</f>
        <v>1156.2700000000002</v>
      </c>
      <c r="E241" s="8">
        <f>551+48+500+11+40</f>
        <v>1150</v>
      </c>
      <c r="F241" s="8">
        <v>1150</v>
      </c>
      <c r="G241" s="8">
        <f t="shared" si="47"/>
        <v>0</v>
      </c>
      <c r="H241" s="10">
        <v>0</v>
      </c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</row>
    <row r="242" spans="1:28" ht="12.75">
      <c r="A242" s="7">
        <v>300</v>
      </c>
      <c r="B242" s="5" t="s">
        <v>23</v>
      </c>
      <c r="C242" s="8">
        <f>7757.38+1800</f>
        <v>9557.380000000001</v>
      </c>
      <c r="D242" s="8">
        <v>7798.97</v>
      </c>
      <c r="E242" s="8">
        <v>10684</v>
      </c>
      <c r="F242" s="8">
        <v>13654</v>
      </c>
      <c r="G242" s="8">
        <f t="shared" si="47"/>
        <v>2970</v>
      </c>
      <c r="H242" s="10">
        <f>G242/E242</f>
        <v>0.27798577311868217</v>
      </c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</row>
    <row r="243" spans="1:28" ht="12.75">
      <c r="A243" s="7">
        <v>300</v>
      </c>
      <c r="B243" s="5" t="s">
        <v>86</v>
      </c>
      <c r="C243" s="8">
        <v>54550.04</v>
      </c>
      <c r="D243" s="8">
        <v>45279.74</v>
      </c>
      <c r="E243" s="8">
        <v>65000</v>
      </c>
      <c r="F243" s="8">
        <v>65000</v>
      </c>
      <c r="G243" s="8">
        <f t="shared" si="47"/>
        <v>0</v>
      </c>
      <c r="H243" s="10">
        <v>0</v>
      </c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</row>
    <row r="244" spans="1:28" ht="12.75">
      <c r="A244" s="7">
        <v>561</v>
      </c>
      <c r="B244" s="5" t="s">
        <v>25</v>
      </c>
      <c r="C244" s="8">
        <v>0</v>
      </c>
      <c r="D244" s="8">
        <v>0</v>
      </c>
      <c r="E244" s="8">
        <v>0</v>
      </c>
      <c r="F244" s="8">
        <v>0</v>
      </c>
      <c r="G244" s="8">
        <f t="shared" si="47"/>
        <v>0</v>
      </c>
      <c r="H244" s="10">
        <v>0</v>
      </c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</row>
    <row r="245" spans="1:28" ht="12.75">
      <c r="A245" s="7">
        <v>593</v>
      </c>
      <c r="B245" s="5" t="s">
        <v>26</v>
      </c>
      <c r="C245" s="8">
        <v>0</v>
      </c>
      <c r="D245" s="8">
        <v>0</v>
      </c>
      <c r="E245" s="8">
        <v>0</v>
      </c>
      <c r="F245" s="8">
        <v>0</v>
      </c>
      <c r="G245" s="8">
        <f t="shared" si="47"/>
        <v>0</v>
      </c>
      <c r="H245" s="10">
        <v>0</v>
      </c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</row>
    <row r="246" spans="1:28" ht="12.75">
      <c r="A246" s="7">
        <v>566</v>
      </c>
      <c r="B246" s="5" t="s">
        <v>27</v>
      </c>
      <c r="C246" s="8">
        <v>0</v>
      </c>
      <c r="D246" s="8">
        <v>0</v>
      </c>
      <c r="E246" s="8">
        <v>0</v>
      </c>
      <c r="F246" s="8">
        <v>0</v>
      </c>
      <c r="G246" s="8">
        <f t="shared" si="47"/>
        <v>0</v>
      </c>
      <c r="H246" s="10">
        <v>0</v>
      </c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</row>
    <row r="247" spans="1:28" ht="12.75">
      <c r="A247" s="7">
        <v>500</v>
      </c>
      <c r="B247" s="5" t="s">
        <v>28</v>
      </c>
      <c r="C247" s="8">
        <v>0</v>
      </c>
      <c r="D247" s="8">
        <v>0</v>
      </c>
      <c r="E247" s="8">
        <v>0</v>
      </c>
      <c r="F247" s="8">
        <v>0</v>
      </c>
      <c r="G247" s="8">
        <f t="shared" si="47"/>
        <v>0</v>
      </c>
      <c r="H247" s="10">
        <v>0</v>
      </c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</row>
    <row r="248" spans="1:28" ht="12.75">
      <c r="A248" s="7">
        <v>600</v>
      </c>
      <c r="B248" s="5" t="s">
        <v>29</v>
      </c>
      <c r="C248" s="8">
        <v>0</v>
      </c>
      <c r="D248" s="8">
        <v>0</v>
      </c>
      <c r="E248" s="8">
        <v>0</v>
      </c>
      <c r="F248" s="8">
        <v>0</v>
      </c>
      <c r="G248" s="8">
        <f t="shared" si="47"/>
        <v>0</v>
      </c>
      <c r="H248" s="10">
        <v>0</v>
      </c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</row>
    <row r="249" spans="1:28" ht="12.75">
      <c r="A249" s="7">
        <v>700</v>
      </c>
      <c r="B249" s="5" t="s">
        <v>30</v>
      </c>
      <c r="C249" s="8">
        <v>0</v>
      </c>
      <c r="D249" s="8">
        <v>0</v>
      </c>
      <c r="E249" s="8">
        <v>0</v>
      </c>
      <c r="F249" s="8">
        <v>0</v>
      </c>
      <c r="G249" s="8">
        <f t="shared" si="47"/>
        <v>0</v>
      </c>
      <c r="H249" s="10">
        <v>0</v>
      </c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</row>
    <row r="250" spans="1:28" ht="12.75">
      <c r="A250" s="7">
        <v>800</v>
      </c>
      <c r="B250" s="5" t="s">
        <v>31</v>
      </c>
      <c r="C250" s="8">
        <v>0</v>
      </c>
      <c r="D250" s="8">
        <v>0</v>
      </c>
      <c r="E250" s="8">
        <v>0</v>
      </c>
      <c r="F250" s="8">
        <v>0</v>
      </c>
      <c r="G250" s="8">
        <f t="shared" si="47"/>
        <v>0</v>
      </c>
      <c r="H250" s="10">
        <v>0</v>
      </c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</row>
    <row r="251" spans="1:28" ht="12.75">
      <c r="A251" s="7">
        <v>900</v>
      </c>
      <c r="B251" s="5" t="s">
        <v>32</v>
      </c>
      <c r="C251" s="8">
        <v>0</v>
      </c>
      <c r="D251" s="8">
        <v>0</v>
      </c>
      <c r="E251" s="8">
        <v>0</v>
      </c>
      <c r="F251" s="8">
        <v>0</v>
      </c>
      <c r="G251" s="8">
        <f t="shared" si="47"/>
        <v>0</v>
      </c>
      <c r="H251" s="10">
        <v>0</v>
      </c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</row>
    <row r="252" spans="1:28" ht="12.75">
      <c r="A252" s="5"/>
      <c r="B252" s="5"/>
      <c r="C252" s="8">
        <f aca="true" t="shared" si="48" ref="C252:G252">SUM(C240:C251)</f>
        <v>80973.73000000001</v>
      </c>
      <c r="D252" s="8">
        <f t="shared" si="48"/>
        <v>67922.48</v>
      </c>
      <c r="E252" s="8">
        <f t="shared" si="48"/>
        <v>90034</v>
      </c>
      <c r="F252" s="8">
        <f t="shared" si="48"/>
        <v>93004</v>
      </c>
      <c r="G252" s="8">
        <f t="shared" si="48"/>
        <v>2970</v>
      </c>
      <c r="H252" s="10">
        <f>G252/E252</f>
        <v>0.03298753804118444</v>
      </c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</row>
    <row r="253" spans="1:28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</row>
    <row r="254" spans="1:28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</row>
    <row r="255" spans="1:28" ht="12.75">
      <c r="A255" s="2"/>
      <c r="B255" s="2" t="s">
        <v>87</v>
      </c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</row>
    <row r="256" spans="1:28" ht="12.75">
      <c r="A256" s="5"/>
      <c r="B256" s="11" t="s">
        <v>16</v>
      </c>
      <c r="C256" s="12" t="s">
        <v>17</v>
      </c>
      <c r="D256" s="12" t="s">
        <v>18</v>
      </c>
      <c r="E256" s="12" t="s">
        <v>19</v>
      </c>
      <c r="F256" s="12" t="s">
        <v>20</v>
      </c>
      <c r="G256" s="11" t="s">
        <v>7</v>
      </c>
      <c r="H256" s="12" t="s">
        <v>21</v>
      </c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</row>
    <row r="257" spans="1:28" ht="12.75">
      <c r="A257" s="5"/>
      <c r="B257" s="5"/>
      <c r="C257" s="5"/>
      <c r="D257" s="5"/>
      <c r="E257" s="5"/>
      <c r="F257" s="5"/>
      <c r="G257" s="5"/>
      <c r="H257" s="5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</row>
    <row r="258" spans="1:28" ht="12.75">
      <c r="A258" s="7">
        <v>100</v>
      </c>
      <c r="B258" s="5" t="s">
        <v>22</v>
      </c>
      <c r="C258" s="8">
        <f>17200.84+500</f>
        <v>17700.84</v>
      </c>
      <c r="D258" s="8">
        <f>14668.52+500</f>
        <v>15168.52</v>
      </c>
      <c r="E258" s="8">
        <f>17076+500</f>
        <v>17576</v>
      </c>
      <c r="F258" s="8">
        <f>17731</f>
        <v>17731</v>
      </c>
      <c r="G258" s="8">
        <f aca="true" t="shared" si="49" ref="G258:G270">F258-E258</f>
        <v>155</v>
      </c>
      <c r="H258" s="10">
        <f aca="true" t="shared" si="50" ref="H258:H260">G258/E258</f>
        <v>0.008818843878015476</v>
      </c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</row>
    <row r="259" spans="1:28" ht="12.75">
      <c r="A259" s="7">
        <v>200</v>
      </c>
      <c r="B259" s="5" t="s">
        <v>10</v>
      </c>
      <c r="C259" s="8">
        <f>1381.29+38.25</f>
        <v>1419.54</v>
      </c>
      <c r="D259" s="8">
        <f>1173.43+38.26</f>
        <v>1211.69</v>
      </c>
      <c r="E259" s="8">
        <f>1454+38.25</f>
        <v>1492.25</v>
      </c>
      <c r="F259" s="8">
        <f>1513+38.25</f>
        <v>1551.25</v>
      </c>
      <c r="G259" s="8">
        <f t="shared" si="49"/>
        <v>59</v>
      </c>
      <c r="H259" s="10">
        <f t="shared" si="50"/>
        <v>0.039537610990115594</v>
      </c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</row>
    <row r="260" spans="1:28" ht="12.75">
      <c r="A260" s="7">
        <v>300</v>
      </c>
      <c r="B260" s="5" t="s">
        <v>23</v>
      </c>
      <c r="C260" s="8">
        <v>20669.58</v>
      </c>
      <c r="D260" s="8">
        <v>19614.3</v>
      </c>
      <c r="E260" s="8">
        <v>15500</v>
      </c>
      <c r="F260" s="8">
        <v>15500</v>
      </c>
      <c r="G260" s="8">
        <f t="shared" si="49"/>
        <v>0</v>
      </c>
      <c r="H260" s="10">
        <f t="shared" si="50"/>
        <v>0</v>
      </c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</row>
    <row r="261" spans="1:28" ht="12.75">
      <c r="A261" s="7">
        <v>400</v>
      </c>
      <c r="B261" s="5" t="s">
        <v>88</v>
      </c>
      <c r="C261" s="8">
        <v>0</v>
      </c>
      <c r="D261" s="8">
        <v>0</v>
      </c>
      <c r="E261" s="8">
        <v>0</v>
      </c>
      <c r="F261" s="8">
        <v>0</v>
      </c>
      <c r="G261" s="8">
        <f t="shared" si="49"/>
        <v>0</v>
      </c>
      <c r="H261" s="10">
        <v>0</v>
      </c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</row>
    <row r="262" spans="1:28" ht="12.75">
      <c r="A262" s="7">
        <v>561</v>
      </c>
      <c r="B262" s="5" t="s">
        <v>25</v>
      </c>
      <c r="C262" s="8">
        <v>0</v>
      </c>
      <c r="D262" s="8">
        <v>0</v>
      </c>
      <c r="E262" s="8">
        <v>0</v>
      </c>
      <c r="F262" s="8">
        <v>0</v>
      </c>
      <c r="G262" s="8">
        <f t="shared" si="49"/>
        <v>0</v>
      </c>
      <c r="H262" s="10">
        <v>0</v>
      </c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</row>
    <row r="263" spans="1:28" ht="12.75">
      <c r="A263" s="7">
        <v>593</v>
      </c>
      <c r="B263" s="5" t="s">
        <v>26</v>
      </c>
      <c r="C263" s="8">
        <v>650906.26</v>
      </c>
      <c r="D263" s="8">
        <v>589470.06</v>
      </c>
      <c r="E263" s="8">
        <v>697076</v>
      </c>
      <c r="F263" s="8">
        <v>683012</v>
      </c>
      <c r="G263" s="8">
        <f t="shared" si="49"/>
        <v>-14064</v>
      </c>
      <c r="H263" s="10">
        <f>G263/E263</f>
        <v>-0.02017570537502367</v>
      </c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</row>
    <row r="264" spans="1:28" ht="12.75">
      <c r="A264" s="7">
        <v>566</v>
      </c>
      <c r="B264" s="5" t="s">
        <v>27</v>
      </c>
      <c r="C264" s="8">
        <v>0</v>
      </c>
      <c r="D264" s="8">
        <v>0</v>
      </c>
      <c r="E264" s="8">
        <v>0</v>
      </c>
      <c r="F264" s="8">
        <v>0</v>
      </c>
      <c r="G264" s="8">
        <f t="shared" si="49"/>
        <v>0</v>
      </c>
      <c r="H264" s="10">
        <v>0</v>
      </c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</row>
    <row r="265" spans="1:28" ht="12.75">
      <c r="A265" s="7">
        <v>500</v>
      </c>
      <c r="B265" s="5" t="s">
        <v>28</v>
      </c>
      <c r="C265" s="8">
        <v>2892.34</v>
      </c>
      <c r="D265" s="8">
        <f>2025.75+2393.35</f>
        <v>4419.1</v>
      </c>
      <c r="E265" s="8">
        <v>6500</v>
      </c>
      <c r="F265" s="8">
        <v>6500</v>
      </c>
      <c r="G265" s="8">
        <f t="shared" si="49"/>
        <v>0</v>
      </c>
      <c r="H265" s="10">
        <f aca="true" t="shared" si="51" ref="H265:H266">G265/E265</f>
        <v>0</v>
      </c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</row>
    <row r="266" spans="1:28" ht="12.75">
      <c r="A266" s="7">
        <v>600</v>
      </c>
      <c r="B266" s="5" t="s">
        <v>29</v>
      </c>
      <c r="C266" s="8">
        <v>513</v>
      </c>
      <c r="D266" s="8">
        <v>32.5</v>
      </c>
      <c r="E266" s="8">
        <v>1000</v>
      </c>
      <c r="F266" s="8">
        <v>500</v>
      </c>
      <c r="G266" s="8">
        <f t="shared" si="49"/>
        <v>-500</v>
      </c>
      <c r="H266" s="10">
        <f t="shared" si="51"/>
        <v>-0.5</v>
      </c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</row>
    <row r="267" spans="1:28" ht="12.75">
      <c r="A267" s="7">
        <v>700</v>
      </c>
      <c r="B267" s="5" t="s">
        <v>30</v>
      </c>
      <c r="C267" s="8">
        <v>0</v>
      </c>
      <c r="D267" s="8">
        <v>0</v>
      </c>
      <c r="E267" s="8">
        <v>0</v>
      </c>
      <c r="F267" s="8">
        <v>0</v>
      </c>
      <c r="G267" s="8">
        <f t="shared" si="49"/>
        <v>0</v>
      </c>
      <c r="H267" s="10">
        <v>0</v>
      </c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</row>
    <row r="268" spans="1:28" ht="12.75">
      <c r="A268" s="7">
        <v>800</v>
      </c>
      <c r="B268" s="5" t="s">
        <v>31</v>
      </c>
      <c r="C268" s="8">
        <v>6957.02</v>
      </c>
      <c r="D268" s="8">
        <v>4464.88</v>
      </c>
      <c r="E268" s="8">
        <f>37497+1500+2200+1500+5000</f>
        <v>47697</v>
      </c>
      <c r="F268" s="8">
        <f>196166+5000</f>
        <v>201166</v>
      </c>
      <c r="G268" s="8">
        <f t="shared" si="49"/>
        <v>153469</v>
      </c>
      <c r="H268" s="10">
        <f aca="true" t="shared" si="52" ref="H268:H271">G268/E268</f>
        <v>3.2175818185630125</v>
      </c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</row>
    <row r="269" spans="1:28" ht="12.75">
      <c r="A269" s="7">
        <v>897</v>
      </c>
      <c r="B269" s="5" t="s">
        <v>89</v>
      </c>
      <c r="C269" s="8">
        <v>0</v>
      </c>
      <c r="D269" s="8">
        <f>531.53+1916.45</f>
        <v>2447.98</v>
      </c>
      <c r="E269" s="8">
        <v>139172.74</v>
      </c>
      <c r="F269" s="8">
        <v>0</v>
      </c>
      <c r="G269" s="8">
        <f t="shared" si="49"/>
        <v>-139172.74</v>
      </c>
      <c r="H269" s="10">
        <f t="shared" si="52"/>
        <v>-1</v>
      </c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</row>
    <row r="270" spans="1:28" ht="12.75">
      <c r="A270" s="7">
        <v>900</v>
      </c>
      <c r="B270" s="5" t="s">
        <v>32</v>
      </c>
      <c r="C270" s="8">
        <v>0</v>
      </c>
      <c r="D270" s="8">
        <v>7750</v>
      </c>
      <c r="E270" s="8">
        <v>11500</v>
      </c>
      <c r="F270" s="8">
        <v>11500</v>
      </c>
      <c r="G270" s="8">
        <f t="shared" si="49"/>
        <v>0</v>
      </c>
      <c r="H270" s="10">
        <f t="shared" si="52"/>
        <v>0</v>
      </c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</row>
    <row r="271" spans="1:28" ht="12.75">
      <c r="A271" s="5"/>
      <c r="B271" s="5"/>
      <c r="C271" s="8">
        <f aca="true" t="shared" si="53" ref="C271:G271">SUM(C258:C270)</f>
        <v>701058.58</v>
      </c>
      <c r="D271" s="8">
        <f t="shared" si="53"/>
        <v>644579.03</v>
      </c>
      <c r="E271" s="8">
        <f t="shared" si="53"/>
        <v>937513.99</v>
      </c>
      <c r="F271" s="8">
        <f t="shared" si="53"/>
        <v>937460.25</v>
      </c>
      <c r="G271" s="8">
        <f t="shared" si="53"/>
        <v>-53.73999999999069</v>
      </c>
      <c r="H271" s="10">
        <f t="shared" si="52"/>
        <v>-5.732181127237439E-05</v>
      </c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</row>
    <row r="272" spans="1:28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</row>
    <row r="273" spans="1:28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</row>
    <row r="274" spans="1:28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</row>
    <row r="275" spans="1:28" ht="12.75">
      <c r="A275" s="2"/>
      <c r="B275" s="2" t="s">
        <v>90</v>
      </c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</row>
    <row r="276" spans="1:28" ht="12.75">
      <c r="A276" s="5"/>
      <c r="B276" s="11" t="s">
        <v>16</v>
      </c>
      <c r="C276" s="12" t="s">
        <v>17</v>
      </c>
      <c r="D276" s="12" t="s">
        <v>18</v>
      </c>
      <c r="E276" s="12" t="s">
        <v>19</v>
      </c>
      <c r="F276" s="12" t="s">
        <v>20</v>
      </c>
      <c r="G276" s="11" t="s">
        <v>7</v>
      </c>
      <c r="H276" s="12" t="s">
        <v>21</v>
      </c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</row>
    <row r="277" spans="1:28" ht="12.75">
      <c r="A277" s="5"/>
      <c r="B277" s="5"/>
      <c r="C277" s="5"/>
      <c r="D277" s="5"/>
      <c r="E277" s="5"/>
      <c r="F277" s="5"/>
      <c r="G277" s="5"/>
      <c r="H277" s="5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</row>
    <row r="278" spans="1:28" ht="12.75">
      <c r="A278" s="7">
        <v>100</v>
      </c>
      <c r="B278" s="5" t="s">
        <v>22</v>
      </c>
      <c r="C278" s="8">
        <v>32700.51</v>
      </c>
      <c r="D278" s="8">
        <v>33515.79</v>
      </c>
      <c r="E278" s="8">
        <v>34859</v>
      </c>
      <c r="F278" s="8">
        <v>6610</v>
      </c>
      <c r="G278" s="8">
        <f aca="true" t="shared" si="54" ref="G278:G289">F278-E278</f>
        <v>-28249</v>
      </c>
      <c r="H278" s="10">
        <v>0</v>
      </c>
      <c r="I278" s="2" t="s">
        <v>91</v>
      </c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</row>
    <row r="279" spans="1:28" ht="12.75">
      <c r="A279" s="7">
        <v>200</v>
      </c>
      <c r="B279" s="5" t="s">
        <v>10</v>
      </c>
      <c r="C279" s="8">
        <v>5589.64</v>
      </c>
      <c r="D279" s="8">
        <v>5587.36</v>
      </c>
      <c r="E279" s="8">
        <v>5758.66</v>
      </c>
      <c r="F279" s="8">
        <v>1106.75</v>
      </c>
      <c r="G279" s="8">
        <f t="shared" si="54"/>
        <v>-4651.91</v>
      </c>
      <c r="H279" s="10">
        <f>G279/E279</f>
        <v>-0.8078111921870713</v>
      </c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</row>
    <row r="280" spans="1:28" ht="12.75">
      <c r="A280" s="7">
        <v>300</v>
      </c>
      <c r="B280" s="5" t="s">
        <v>23</v>
      </c>
      <c r="C280" s="8">
        <v>0</v>
      </c>
      <c r="D280" s="8">
        <v>0</v>
      </c>
      <c r="E280" s="8">
        <v>0</v>
      </c>
      <c r="F280" s="8">
        <v>0</v>
      </c>
      <c r="G280" s="8">
        <f t="shared" si="54"/>
        <v>0</v>
      </c>
      <c r="H280" s="10">
        <v>0</v>
      </c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</row>
    <row r="281" spans="1:28" ht="12.75">
      <c r="A281" s="7">
        <v>300</v>
      </c>
      <c r="B281" s="5" t="s">
        <v>92</v>
      </c>
      <c r="C281" s="8">
        <v>0</v>
      </c>
      <c r="D281" s="8">
        <v>0</v>
      </c>
      <c r="E281" s="8">
        <v>0</v>
      </c>
      <c r="F281" s="8">
        <v>0</v>
      </c>
      <c r="G281" s="8">
        <f t="shared" si="54"/>
        <v>0</v>
      </c>
      <c r="H281" s="10">
        <v>0</v>
      </c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</row>
    <row r="282" spans="1:28" ht="12.75">
      <c r="A282" s="7">
        <v>561</v>
      </c>
      <c r="B282" s="5" t="s">
        <v>25</v>
      </c>
      <c r="C282" s="8">
        <v>0</v>
      </c>
      <c r="D282" s="8">
        <v>0</v>
      </c>
      <c r="E282" s="8">
        <v>0</v>
      </c>
      <c r="F282" s="8">
        <v>0</v>
      </c>
      <c r="G282" s="8">
        <f t="shared" si="54"/>
        <v>0</v>
      </c>
      <c r="H282" s="10">
        <v>0</v>
      </c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</row>
    <row r="283" spans="1:28" ht="12.75">
      <c r="A283" s="7">
        <v>593</v>
      </c>
      <c r="B283" s="5" t="s">
        <v>26</v>
      </c>
      <c r="C283" s="8">
        <v>242803.77</v>
      </c>
      <c r="D283" s="8">
        <v>201590.3</v>
      </c>
      <c r="E283" s="8">
        <v>283300</v>
      </c>
      <c r="F283" s="8">
        <v>297106</v>
      </c>
      <c r="G283" s="8">
        <f t="shared" si="54"/>
        <v>13806</v>
      </c>
      <c r="H283" s="10">
        <f>G283/E283</f>
        <v>0.048732792093187434</v>
      </c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</row>
    <row r="284" spans="1:28" ht="12.75">
      <c r="A284" s="7">
        <v>566</v>
      </c>
      <c r="B284" s="5" t="s">
        <v>27</v>
      </c>
      <c r="C284" s="8">
        <v>0</v>
      </c>
      <c r="D284" s="8">
        <v>0</v>
      </c>
      <c r="E284" s="8">
        <v>0</v>
      </c>
      <c r="F284" s="8">
        <v>0</v>
      </c>
      <c r="G284" s="8">
        <f t="shared" si="54"/>
        <v>0</v>
      </c>
      <c r="H284" s="10">
        <v>0</v>
      </c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</row>
    <row r="285" spans="1:28" ht="12.75">
      <c r="A285" s="7">
        <v>500</v>
      </c>
      <c r="B285" s="5" t="s">
        <v>28</v>
      </c>
      <c r="C285" s="8">
        <v>0</v>
      </c>
      <c r="D285" s="8">
        <v>2328.9</v>
      </c>
      <c r="E285" s="8">
        <v>0</v>
      </c>
      <c r="F285" s="8">
        <v>0</v>
      </c>
      <c r="G285" s="8">
        <f t="shared" si="54"/>
        <v>0</v>
      </c>
      <c r="H285" s="10">
        <v>0</v>
      </c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</row>
    <row r="286" spans="1:28" ht="12.75">
      <c r="A286" s="7">
        <v>600</v>
      </c>
      <c r="B286" s="5" t="s">
        <v>29</v>
      </c>
      <c r="C286" s="8">
        <v>0</v>
      </c>
      <c r="D286" s="8">
        <v>0</v>
      </c>
      <c r="E286" s="8">
        <v>0</v>
      </c>
      <c r="F286" s="8">
        <v>0</v>
      </c>
      <c r="G286" s="8">
        <f t="shared" si="54"/>
        <v>0</v>
      </c>
      <c r="H286" s="10">
        <v>0</v>
      </c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</row>
    <row r="287" spans="1:28" ht="12.75">
      <c r="A287" s="7">
        <v>700</v>
      </c>
      <c r="B287" s="5" t="s">
        <v>30</v>
      </c>
      <c r="C287" s="8">
        <v>0</v>
      </c>
      <c r="D287" s="8">
        <v>0</v>
      </c>
      <c r="E287" s="8">
        <v>0</v>
      </c>
      <c r="F287" s="8">
        <v>0</v>
      </c>
      <c r="G287" s="8">
        <f t="shared" si="54"/>
        <v>0</v>
      </c>
      <c r="H287" s="10">
        <v>0</v>
      </c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</row>
    <row r="288" spans="1:28" ht="12.75">
      <c r="A288" s="7">
        <v>800</v>
      </c>
      <c r="B288" s="5" t="s">
        <v>31</v>
      </c>
      <c r="C288" s="8">
        <v>0</v>
      </c>
      <c r="D288" s="8">
        <v>0</v>
      </c>
      <c r="E288" s="8">
        <v>0</v>
      </c>
      <c r="F288" s="8">
        <v>0</v>
      </c>
      <c r="G288" s="8">
        <f t="shared" si="54"/>
        <v>0</v>
      </c>
      <c r="H288" s="10">
        <v>0</v>
      </c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</row>
    <row r="289" spans="1:28" ht="12.75">
      <c r="A289" s="7">
        <v>900</v>
      </c>
      <c r="B289" s="5" t="s">
        <v>32</v>
      </c>
      <c r="C289" s="8">
        <v>0</v>
      </c>
      <c r="D289" s="8">
        <v>35000</v>
      </c>
      <c r="E289" s="8">
        <v>35000</v>
      </c>
      <c r="F289" s="8">
        <v>35000</v>
      </c>
      <c r="G289" s="8">
        <f t="shared" si="54"/>
        <v>0</v>
      </c>
      <c r="H289" s="10">
        <v>0</v>
      </c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</row>
    <row r="290" spans="1:28" ht="12.75">
      <c r="A290" s="5"/>
      <c r="B290" s="5"/>
      <c r="C290" s="8">
        <f aca="true" t="shared" si="55" ref="C290:G290">SUM(C278:C289)</f>
        <v>281093.92</v>
      </c>
      <c r="D290" s="8">
        <f t="shared" si="55"/>
        <v>278022.35</v>
      </c>
      <c r="E290" s="8">
        <f t="shared" si="55"/>
        <v>358917.66</v>
      </c>
      <c r="F290" s="8">
        <f t="shared" si="55"/>
        <v>339822.75</v>
      </c>
      <c r="G290" s="8">
        <f t="shared" si="55"/>
        <v>-19094.91</v>
      </c>
      <c r="H290" s="10">
        <f>G290/E290</f>
        <v>-0.05320136657527524</v>
      </c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</row>
    <row r="291" spans="1:28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</row>
    <row r="292" spans="1:28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</row>
    <row r="293" spans="1:28" ht="12.75">
      <c r="A293" s="2"/>
      <c r="B293" s="2" t="s">
        <v>61</v>
      </c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</row>
    <row r="294" spans="1:28" ht="12.75">
      <c r="A294" s="5"/>
      <c r="B294" s="11" t="s">
        <v>16</v>
      </c>
      <c r="C294" s="12" t="s">
        <v>17</v>
      </c>
      <c r="D294" s="12" t="s">
        <v>18</v>
      </c>
      <c r="E294" s="12" t="s">
        <v>19</v>
      </c>
      <c r="F294" s="12" t="s">
        <v>20</v>
      </c>
      <c r="G294" s="11" t="s">
        <v>7</v>
      </c>
      <c r="H294" s="12" t="s">
        <v>21</v>
      </c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</row>
    <row r="295" spans="1:28" ht="12.75">
      <c r="A295" s="5"/>
      <c r="B295" s="5"/>
      <c r="C295" s="5"/>
      <c r="D295" s="5"/>
      <c r="E295" s="5"/>
      <c r="F295" s="5"/>
      <c r="G295" s="5"/>
      <c r="H295" s="5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</row>
    <row r="296" spans="1:28" ht="12.75">
      <c r="A296" s="7">
        <v>100</v>
      </c>
      <c r="B296" s="5" t="s">
        <v>22</v>
      </c>
      <c r="C296" s="8">
        <v>176326.64</v>
      </c>
      <c r="D296" s="8">
        <v>143479.11</v>
      </c>
      <c r="E296" s="8">
        <v>151639</v>
      </c>
      <c r="F296" s="8">
        <f>154147-1</f>
        <v>154146</v>
      </c>
      <c r="G296" s="8">
        <f aca="true" t="shared" si="56" ref="G296:G307">F296-E296</f>
        <v>2507</v>
      </c>
      <c r="H296" s="10">
        <f aca="true" t="shared" si="57" ref="H296:H297">G296/E296</f>
        <v>0.016532686182314574</v>
      </c>
      <c r="I296" s="2" t="s">
        <v>93</v>
      </c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</row>
    <row r="297" spans="1:28" ht="12.75">
      <c r="A297" s="7">
        <v>200</v>
      </c>
      <c r="B297" s="5" t="s">
        <v>10</v>
      </c>
      <c r="C297" s="8">
        <v>49556.3</v>
      </c>
      <c r="D297" s="8">
        <v>35788.93</v>
      </c>
      <c r="E297" s="8">
        <v>41157.31</v>
      </c>
      <c r="F297" s="8">
        <v>67966.65</v>
      </c>
      <c r="G297" s="8">
        <f t="shared" si="56"/>
        <v>26809.339999999997</v>
      </c>
      <c r="H297" s="10">
        <f t="shared" si="57"/>
        <v>0.6513870804481634</v>
      </c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</row>
    <row r="298" spans="1:28" ht="12.75">
      <c r="A298" s="7">
        <v>300</v>
      </c>
      <c r="B298" s="5" t="s">
        <v>23</v>
      </c>
      <c r="C298" s="8">
        <v>3696.88</v>
      </c>
      <c r="D298" s="8">
        <v>2274.6</v>
      </c>
      <c r="E298" s="8">
        <v>4000</v>
      </c>
      <c r="F298" s="8">
        <v>2500</v>
      </c>
      <c r="G298" s="8">
        <f t="shared" si="56"/>
        <v>-1500</v>
      </c>
      <c r="H298" s="10">
        <v>0</v>
      </c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</row>
    <row r="299" spans="1:28" ht="12.75">
      <c r="A299" s="7">
        <v>400</v>
      </c>
      <c r="B299" s="5" t="s">
        <v>24</v>
      </c>
      <c r="C299" s="8">
        <v>2562.94</v>
      </c>
      <c r="D299" s="8">
        <v>1107.22</v>
      </c>
      <c r="E299" s="8">
        <v>6350</v>
      </c>
      <c r="F299" s="8">
        <v>6210</v>
      </c>
      <c r="G299" s="8">
        <f t="shared" si="56"/>
        <v>-140</v>
      </c>
      <c r="H299" s="10">
        <f>G299/E299</f>
        <v>-0.02204724409448819</v>
      </c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</row>
    <row r="300" spans="1:28" ht="12.75">
      <c r="A300" s="7">
        <v>561</v>
      </c>
      <c r="B300" s="5" t="s">
        <v>25</v>
      </c>
      <c r="C300" s="8">
        <v>0</v>
      </c>
      <c r="D300" s="8">
        <v>0</v>
      </c>
      <c r="E300" s="8">
        <v>0</v>
      </c>
      <c r="F300" s="8">
        <v>0</v>
      </c>
      <c r="G300" s="8">
        <f t="shared" si="56"/>
        <v>0</v>
      </c>
      <c r="H300" s="10">
        <v>0</v>
      </c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</row>
    <row r="301" spans="1:28" ht="12.75">
      <c r="A301" s="7">
        <v>593</v>
      </c>
      <c r="B301" s="5" t="s">
        <v>26</v>
      </c>
      <c r="C301" s="8">
        <v>0</v>
      </c>
      <c r="D301" s="8">
        <v>0</v>
      </c>
      <c r="E301" s="8">
        <v>0</v>
      </c>
      <c r="F301" s="8">
        <v>0</v>
      </c>
      <c r="G301" s="8">
        <f t="shared" si="56"/>
        <v>0</v>
      </c>
      <c r="H301" s="10">
        <v>0</v>
      </c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</row>
    <row r="302" spans="1:28" ht="12.75">
      <c r="A302" s="7">
        <v>566</v>
      </c>
      <c r="B302" s="5" t="s">
        <v>27</v>
      </c>
      <c r="C302" s="8">
        <v>0</v>
      </c>
      <c r="D302" s="8">
        <v>0</v>
      </c>
      <c r="E302" s="8">
        <v>0</v>
      </c>
      <c r="F302" s="8">
        <v>0</v>
      </c>
      <c r="G302" s="8">
        <f t="shared" si="56"/>
        <v>0</v>
      </c>
      <c r="H302" s="10">
        <v>0</v>
      </c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</row>
    <row r="303" spans="1:28" ht="12.75">
      <c r="A303" s="7">
        <v>500</v>
      </c>
      <c r="B303" s="5" t="s">
        <v>28</v>
      </c>
      <c r="C303" s="8">
        <v>950.15</v>
      </c>
      <c r="D303" s="8">
        <v>0</v>
      </c>
      <c r="E303" s="8">
        <v>1500</v>
      </c>
      <c r="F303" s="8">
        <v>1500</v>
      </c>
      <c r="G303" s="8">
        <f t="shared" si="56"/>
        <v>0</v>
      </c>
      <c r="H303" s="10">
        <v>0</v>
      </c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</row>
    <row r="304" spans="1:28" ht="12.75">
      <c r="A304" s="7">
        <v>600</v>
      </c>
      <c r="B304" s="5" t="s">
        <v>29</v>
      </c>
      <c r="C304" s="8">
        <v>152387.76</v>
      </c>
      <c r="D304" s="8">
        <v>142653.63</v>
      </c>
      <c r="E304" s="8">
        <v>118820</v>
      </c>
      <c r="F304" s="8">
        <v>129415</v>
      </c>
      <c r="G304" s="8">
        <f t="shared" si="56"/>
        <v>10595</v>
      </c>
      <c r="H304" s="10">
        <f>G304/E304</f>
        <v>0.08916849015317287</v>
      </c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</row>
    <row r="305" spans="1:28" ht="12.75">
      <c r="A305" s="7">
        <v>700</v>
      </c>
      <c r="B305" s="5" t="s">
        <v>30</v>
      </c>
      <c r="C305" s="8">
        <v>0</v>
      </c>
      <c r="D305" s="8">
        <v>2800</v>
      </c>
      <c r="E305" s="8">
        <v>3000</v>
      </c>
      <c r="F305" s="8">
        <v>0</v>
      </c>
      <c r="G305" s="8">
        <f t="shared" si="56"/>
        <v>-3000</v>
      </c>
      <c r="H305" s="10">
        <v>0</v>
      </c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</row>
    <row r="306" spans="1:28" ht="12.75">
      <c r="A306" s="7">
        <v>800</v>
      </c>
      <c r="B306" s="5" t="s">
        <v>31</v>
      </c>
      <c r="C306" s="8">
        <f>755+755+755</f>
        <v>2265</v>
      </c>
      <c r="D306" s="8">
        <v>0</v>
      </c>
      <c r="E306" s="8">
        <v>0</v>
      </c>
      <c r="F306" s="8">
        <v>0</v>
      </c>
      <c r="G306" s="8">
        <f t="shared" si="56"/>
        <v>0</v>
      </c>
      <c r="H306" s="10">
        <v>0</v>
      </c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</row>
    <row r="307" spans="1:28" ht="12.75">
      <c r="A307" s="7">
        <v>900</v>
      </c>
      <c r="B307" s="5" t="s">
        <v>32</v>
      </c>
      <c r="C307" s="8">
        <v>0</v>
      </c>
      <c r="D307" s="8">
        <v>0</v>
      </c>
      <c r="E307" s="8">
        <v>0</v>
      </c>
      <c r="F307" s="8">
        <v>0</v>
      </c>
      <c r="G307" s="8">
        <f t="shared" si="56"/>
        <v>0</v>
      </c>
      <c r="H307" s="10">
        <v>0</v>
      </c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</row>
    <row r="308" spans="1:28" ht="12.75">
      <c r="A308" s="5"/>
      <c r="B308" s="5"/>
      <c r="C308" s="8">
        <f aca="true" t="shared" si="58" ref="C308:G308">SUM(C296:C307)</f>
        <v>387745.67000000004</v>
      </c>
      <c r="D308" s="8">
        <f t="shared" si="58"/>
        <v>328103.49</v>
      </c>
      <c r="E308" s="8">
        <f t="shared" si="58"/>
        <v>326466.31</v>
      </c>
      <c r="F308" s="8">
        <f t="shared" si="58"/>
        <v>361737.65</v>
      </c>
      <c r="G308" s="8">
        <f t="shared" si="58"/>
        <v>35271.34</v>
      </c>
      <c r="H308" s="10">
        <f>G308/E308</f>
        <v>0.10803975454618885</v>
      </c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</row>
    <row r="309" spans="1:28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</row>
    <row r="310" spans="1:28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</row>
    <row r="311" spans="1:28" ht="12.75">
      <c r="A311" s="2"/>
      <c r="B311" s="2" t="s">
        <v>94</v>
      </c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</row>
    <row r="312" spans="1:28" ht="12.75">
      <c r="A312" s="5"/>
      <c r="B312" s="11" t="s">
        <v>16</v>
      </c>
      <c r="C312" s="12" t="s">
        <v>17</v>
      </c>
      <c r="D312" s="12" t="s">
        <v>18</v>
      </c>
      <c r="E312" s="12" t="s">
        <v>19</v>
      </c>
      <c r="F312" s="12" t="s">
        <v>20</v>
      </c>
      <c r="G312" s="11" t="s">
        <v>7</v>
      </c>
      <c r="H312" s="12" t="s">
        <v>21</v>
      </c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</row>
    <row r="313" spans="1:28" ht="12.75">
      <c r="A313" s="5"/>
      <c r="B313" s="5"/>
      <c r="C313" s="5"/>
      <c r="D313" s="5"/>
      <c r="E313" s="5"/>
      <c r="F313" s="5"/>
      <c r="G313" s="5"/>
      <c r="H313" s="5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</row>
    <row r="314" spans="1:28" ht="12.75">
      <c r="A314" s="7">
        <v>100</v>
      </c>
      <c r="B314" s="5" t="s">
        <v>22</v>
      </c>
      <c r="C314" s="8">
        <v>129673.14</v>
      </c>
      <c r="D314" s="8">
        <v>138007.75</v>
      </c>
      <c r="E314" s="8">
        <v>142576</v>
      </c>
      <c r="F314" s="8">
        <v>142576</v>
      </c>
      <c r="G314" s="8">
        <f aca="true" t="shared" si="59" ref="G314:G325">F314-E314</f>
        <v>0</v>
      </c>
      <c r="H314" s="10">
        <f aca="true" t="shared" si="60" ref="H314:H317">G314/E314</f>
        <v>0</v>
      </c>
      <c r="I314" s="2" t="s">
        <v>95</v>
      </c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</row>
    <row r="315" spans="1:28" ht="12.75">
      <c r="A315" s="7">
        <v>200</v>
      </c>
      <c r="B315" s="5" t="s">
        <v>10</v>
      </c>
      <c r="C315" s="8">
        <v>42126.62</v>
      </c>
      <c r="D315" s="8">
        <v>52492.24</v>
      </c>
      <c r="E315" s="8">
        <v>58103.34</v>
      </c>
      <c r="F315" s="8">
        <v>60250.45</v>
      </c>
      <c r="G315" s="8">
        <f t="shared" si="59"/>
        <v>2147.1100000000006</v>
      </c>
      <c r="H315" s="10">
        <f t="shared" si="60"/>
        <v>0.036953297349171334</v>
      </c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</row>
    <row r="316" spans="1:28" ht="12.75">
      <c r="A316" s="7">
        <v>300</v>
      </c>
      <c r="B316" s="5" t="s">
        <v>23</v>
      </c>
      <c r="C316" s="8">
        <v>2977.39</v>
      </c>
      <c r="D316" s="8">
        <v>1353.72</v>
      </c>
      <c r="E316" s="8">
        <v>1386</v>
      </c>
      <c r="F316" s="8">
        <v>1680</v>
      </c>
      <c r="G316" s="8">
        <f t="shared" si="59"/>
        <v>294</v>
      </c>
      <c r="H316" s="10">
        <f t="shared" si="60"/>
        <v>0.21212121212121213</v>
      </c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</row>
    <row r="317" spans="1:28" ht="12.75">
      <c r="A317" s="7">
        <v>400</v>
      </c>
      <c r="B317" s="5" t="s">
        <v>24</v>
      </c>
      <c r="C317" s="8">
        <v>390</v>
      </c>
      <c r="D317" s="8">
        <v>100</v>
      </c>
      <c r="E317" s="8">
        <v>390</v>
      </c>
      <c r="F317" s="8">
        <v>390</v>
      </c>
      <c r="G317" s="8">
        <f t="shared" si="59"/>
        <v>0</v>
      </c>
      <c r="H317" s="10">
        <f t="shared" si="60"/>
        <v>0</v>
      </c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</row>
    <row r="318" spans="1:28" ht="12.75">
      <c r="A318" s="7">
        <v>561</v>
      </c>
      <c r="B318" s="5" t="s">
        <v>25</v>
      </c>
      <c r="C318" s="8">
        <v>0</v>
      </c>
      <c r="D318" s="8">
        <v>0</v>
      </c>
      <c r="E318" s="8">
        <v>0</v>
      </c>
      <c r="F318" s="8">
        <v>0</v>
      </c>
      <c r="G318" s="8">
        <f t="shared" si="59"/>
        <v>0</v>
      </c>
      <c r="H318" s="10">
        <v>0</v>
      </c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</row>
    <row r="319" spans="1:28" ht="12.75">
      <c r="A319" s="7">
        <v>593</v>
      </c>
      <c r="B319" s="5" t="s">
        <v>26</v>
      </c>
      <c r="C319" s="8">
        <v>0</v>
      </c>
      <c r="D319" s="8">
        <v>0</v>
      </c>
      <c r="E319" s="8">
        <v>0</v>
      </c>
      <c r="F319" s="8">
        <v>0</v>
      </c>
      <c r="G319" s="8">
        <f t="shared" si="59"/>
        <v>0</v>
      </c>
      <c r="H319" s="10">
        <v>0</v>
      </c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</row>
    <row r="320" spans="1:28" ht="12.75">
      <c r="A320" s="7">
        <v>566</v>
      </c>
      <c r="B320" s="5" t="s">
        <v>27</v>
      </c>
      <c r="C320" s="8">
        <v>0</v>
      </c>
      <c r="D320" s="8">
        <v>0</v>
      </c>
      <c r="E320" s="8">
        <v>0</v>
      </c>
      <c r="F320" s="8">
        <v>0</v>
      </c>
      <c r="G320" s="8">
        <f t="shared" si="59"/>
        <v>0</v>
      </c>
      <c r="H320" s="10">
        <v>0</v>
      </c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</row>
    <row r="321" spans="1:28" ht="12.75">
      <c r="A321" s="7">
        <v>500</v>
      </c>
      <c r="B321" s="5" t="s">
        <v>28</v>
      </c>
      <c r="C321" s="8">
        <v>132.24</v>
      </c>
      <c r="D321" s="8">
        <v>0</v>
      </c>
      <c r="E321" s="8">
        <v>500</v>
      </c>
      <c r="F321" s="8">
        <v>500</v>
      </c>
      <c r="G321" s="8">
        <f t="shared" si="59"/>
        <v>0</v>
      </c>
      <c r="H321" s="10">
        <v>0</v>
      </c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</row>
    <row r="322" spans="1:28" ht="12.75">
      <c r="A322" s="7">
        <v>600</v>
      </c>
      <c r="B322" s="5" t="s">
        <v>29</v>
      </c>
      <c r="C322" s="8">
        <v>1972.95</v>
      </c>
      <c r="D322" s="8">
        <v>287.44</v>
      </c>
      <c r="E322" s="8">
        <v>5075</v>
      </c>
      <c r="F322" s="8">
        <v>5075</v>
      </c>
      <c r="G322" s="8">
        <f t="shared" si="59"/>
        <v>0</v>
      </c>
      <c r="H322" s="10">
        <f>G322/E322</f>
        <v>0</v>
      </c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</row>
    <row r="323" spans="1:28" ht="12.75">
      <c r="A323" s="7">
        <v>700</v>
      </c>
      <c r="B323" s="5" t="s">
        <v>30</v>
      </c>
      <c r="C323" s="8">
        <v>633.95</v>
      </c>
      <c r="D323" s="8">
        <v>131.99</v>
      </c>
      <c r="E323" s="8">
        <v>3000</v>
      </c>
      <c r="F323" s="8">
        <v>3000</v>
      </c>
      <c r="G323" s="8">
        <f t="shared" si="59"/>
        <v>0</v>
      </c>
      <c r="H323" s="10">
        <v>0</v>
      </c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</row>
    <row r="324" spans="1:28" ht="12.75">
      <c r="A324" s="7">
        <v>800</v>
      </c>
      <c r="B324" s="5" t="s">
        <v>31</v>
      </c>
      <c r="C324" s="8">
        <v>0</v>
      </c>
      <c r="D324" s="8">
        <v>0</v>
      </c>
      <c r="E324" s="8">
        <v>0</v>
      </c>
      <c r="F324" s="8">
        <v>0</v>
      </c>
      <c r="G324" s="8">
        <f t="shared" si="59"/>
        <v>0</v>
      </c>
      <c r="H324" s="10">
        <v>0</v>
      </c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</row>
    <row r="325" spans="1:28" ht="12.75">
      <c r="A325" s="7">
        <v>900</v>
      </c>
      <c r="B325" s="5" t="s">
        <v>32</v>
      </c>
      <c r="C325" s="8">
        <v>0</v>
      </c>
      <c r="D325" s="8">
        <v>0</v>
      </c>
      <c r="E325" s="8">
        <v>0</v>
      </c>
      <c r="F325" s="8">
        <v>0</v>
      </c>
      <c r="G325" s="8">
        <f t="shared" si="59"/>
        <v>0</v>
      </c>
      <c r="H325" s="10">
        <v>0</v>
      </c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</row>
    <row r="326" spans="1:28" ht="12.75">
      <c r="A326" s="5"/>
      <c r="B326" s="5"/>
      <c r="C326" s="8">
        <f aca="true" t="shared" si="61" ref="C326:G326">SUM(C314:C325)</f>
        <v>177906.28999999998</v>
      </c>
      <c r="D326" s="8">
        <f t="shared" si="61"/>
        <v>192373.14</v>
      </c>
      <c r="E326" s="8">
        <f t="shared" si="61"/>
        <v>211030.34</v>
      </c>
      <c r="F326" s="8">
        <f t="shared" si="61"/>
        <v>213471.45</v>
      </c>
      <c r="G326" s="8">
        <f t="shared" si="61"/>
        <v>2441.1100000000006</v>
      </c>
      <c r="H326" s="10">
        <f>G326/E326</f>
        <v>0.011567578387069843</v>
      </c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</row>
    <row r="327" spans="1:28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</row>
    <row r="328" spans="1:28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</row>
    <row r="329" spans="1:28" ht="12.75">
      <c r="A329" s="2"/>
      <c r="B329" s="2"/>
      <c r="C329" s="14">
        <f aca="true" t="shared" si="62" ref="C329:F329">C326+C308+C290+C271+C252+C234+C216+C198+C180+C162+C144+C126+C108+C90+C72+C54</f>
        <v>12909906.59</v>
      </c>
      <c r="D329" s="14">
        <f t="shared" si="62"/>
        <v>12545226.319999998</v>
      </c>
      <c r="E329" s="14">
        <f t="shared" si="62"/>
        <v>14241240.84</v>
      </c>
      <c r="F329" s="14">
        <f t="shared" si="62"/>
        <v>14705838.870000001</v>
      </c>
      <c r="G329" s="14">
        <f>F329-E329</f>
        <v>464598.0300000012</v>
      </c>
      <c r="H329" s="15">
        <f>G329/E329</f>
        <v>0.03262342342354497</v>
      </c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</row>
    <row r="330" spans="1:28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</row>
    <row r="331" spans="1:28" ht="12.75">
      <c r="A331" s="2"/>
      <c r="B331" s="2"/>
      <c r="C331" s="2"/>
      <c r="D331" s="2"/>
      <c r="E331" s="2"/>
      <c r="F331" s="2" t="s">
        <v>3</v>
      </c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</row>
    <row r="332" spans="1:28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</row>
    <row r="333" spans="1:28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</row>
    <row r="334" spans="1:28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</row>
    <row r="335" spans="1:28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</row>
    <row r="336" spans="1:28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</row>
    <row r="337" spans="1:28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</row>
    <row r="338" spans="1:28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</row>
    <row r="339" spans="1:28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</row>
    <row r="340" spans="1:28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</row>
    <row r="341" spans="1:28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</row>
    <row r="342" spans="1:28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</row>
    <row r="343" spans="1:28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</row>
    <row r="344" spans="1:28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</row>
    <row r="345" spans="1:28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</row>
    <row r="346" spans="1:28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</row>
    <row r="347" spans="1:28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</row>
    <row r="348" spans="1:28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</row>
    <row r="349" spans="1:28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</row>
    <row r="350" spans="1:28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</row>
    <row r="351" spans="1:28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</row>
    <row r="352" spans="1:28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</row>
    <row r="353" spans="1:28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</row>
    <row r="354" spans="1:28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</row>
    <row r="355" spans="1:28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</row>
    <row r="356" spans="1:28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</row>
    <row r="357" spans="1:28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</row>
    <row r="358" spans="1:28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</row>
    <row r="359" spans="1:28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</row>
    <row r="360" spans="1:28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</row>
    <row r="361" spans="1:28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</row>
    <row r="362" spans="1:28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</row>
    <row r="363" spans="1:28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</row>
    <row r="364" spans="1:28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</row>
    <row r="365" spans="1:28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</row>
    <row r="366" spans="1:28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</row>
    <row r="367" spans="1:28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</row>
    <row r="368" spans="1:28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</row>
    <row r="369" spans="1:28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</row>
    <row r="370" spans="1:28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</row>
    <row r="371" spans="1:28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</row>
    <row r="372" spans="1:28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</row>
    <row r="373" spans="1:28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</row>
    <row r="374" spans="1:28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</row>
    <row r="375" spans="1:28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</row>
    <row r="376" spans="1:28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</row>
    <row r="377" spans="1:28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</row>
    <row r="378" spans="1:28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</row>
    <row r="379" spans="1:28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</row>
    <row r="380" spans="1:28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</row>
    <row r="381" spans="1:28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</row>
    <row r="382" spans="1:28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</row>
    <row r="383" spans="1:28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</row>
    <row r="384" spans="1:28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</row>
    <row r="385" spans="1:28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</row>
    <row r="386" spans="1:28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</row>
    <row r="387" spans="1:28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</row>
    <row r="388" spans="1:28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</row>
    <row r="389" spans="1:28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</row>
    <row r="390" spans="1:28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</row>
    <row r="391" spans="1:28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</row>
    <row r="392" spans="1:28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</row>
    <row r="393" spans="1:28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</row>
    <row r="394" spans="1:28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</row>
    <row r="395" spans="1:28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</row>
    <row r="396" spans="1:28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</row>
    <row r="397" spans="1:28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</row>
    <row r="398" spans="1:28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</row>
    <row r="399" spans="1:28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</row>
    <row r="400" spans="1:28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</row>
    <row r="401" spans="1:28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</row>
    <row r="402" spans="1:28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</row>
    <row r="403" spans="1:28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</row>
    <row r="404" spans="1:28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</row>
    <row r="405" spans="1:28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</row>
    <row r="406" spans="1:28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</row>
    <row r="407" spans="1:28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</row>
    <row r="408" spans="1:28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</row>
    <row r="409" spans="1:28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</row>
    <row r="410" spans="1:28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</row>
    <row r="411" spans="1:28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</row>
    <row r="412" spans="1:28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</row>
    <row r="413" spans="1:28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</row>
    <row r="414" spans="1:28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</row>
    <row r="415" spans="1:28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</row>
    <row r="416" spans="1:28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</row>
    <row r="417" spans="1:28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</row>
    <row r="418" spans="1:28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</row>
    <row r="419" spans="1:28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</row>
    <row r="420" spans="1:28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</row>
    <row r="421" spans="1:28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</row>
    <row r="422" spans="1:28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</row>
    <row r="423" spans="1:28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</row>
    <row r="424" spans="1:28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</row>
    <row r="425" spans="1:28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</row>
    <row r="426" spans="1:28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</row>
    <row r="427" spans="1:28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</row>
    <row r="428" spans="1:28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</row>
    <row r="429" spans="1:28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</row>
    <row r="430" spans="1:28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</row>
    <row r="431" spans="1:28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</row>
    <row r="432" spans="1:28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</row>
    <row r="433" spans="1:28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</row>
    <row r="434" spans="1:28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</row>
    <row r="435" spans="1:28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</row>
    <row r="436" spans="1:28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</row>
    <row r="437" spans="1:28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</row>
    <row r="438" spans="1:28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</row>
    <row r="439" spans="1:28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</row>
    <row r="440" spans="1:28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</row>
    <row r="441" spans="1:28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</row>
    <row r="442" spans="1:28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</row>
    <row r="443" spans="1:28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</row>
    <row r="444" spans="1:28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</row>
    <row r="445" spans="1:28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</row>
    <row r="446" spans="1:28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</row>
    <row r="447" spans="1:28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</row>
    <row r="448" spans="1:28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</row>
    <row r="449" spans="1:28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</row>
    <row r="450" spans="1:28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</row>
    <row r="451" spans="1:28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</row>
    <row r="452" spans="1:28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</row>
    <row r="453" spans="1:28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</row>
    <row r="454" spans="1:28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</row>
    <row r="455" spans="1:28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</row>
    <row r="456" spans="1:28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</row>
    <row r="457" spans="1:28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</row>
    <row r="458" spans="1:28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</row>
    <row r="459" spans="1:28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</row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</sheetData>
  <sheetProtection selectLockedCells="1" selectUnlockedCells="1"/>
  <printOptions gridLines="1" horizontalCentered="1"/>
  <pageMargins left="0.7" right="0.7" top="0.75" bottom="0.75" header="0.5118055555555555" footer="0.5118055555555555"/>
  <pageSetup fitToHeight="0" fitToWidth="1" horizontalDpi="300" verticalDpi="300" orientation="portrait" pageOrder="overThenDown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433"/>
  <sheetViews>
    <sheetView workbookViewId="0" topLeftCell="A1">
      <selection activeCell="A1" sqref="A1"/>
    </sheetView>
  </sheetViews>
  <sheetFormatPr defaultColWidth="13.7109375" defaultRowHeight="15.75" customHeight="1"/>
  <cols>
    <col min="1" max="1" width="7.57421875" style="1" customWidth="1"/>
    <col min="2" max="2" width="31.00390625" style="1" customWidth="1"/>
    <col min="3" max="16384" width="14.421875" style="1" customWidth="1"/>
  </cols>
  <sheetData>
    <row r="1" spans="1:28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2.75">
      <c r="A3" s="2"/>
      <c r="B3" s="2"/>
      <c r="C3" s="2"/>
      <c r="D3" s="3"/>
      <c r="E3" s="3" t="s">
        <v>96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2.75">
      <c r="A4" s="2"/>
      <c r="B4" s="2"/>
      <c r="C4" s="2"/>
      <c r="D4" s="4"/>
      <c r="E4" s="4" t="s">
        <v>1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2.75">
      <c r="A5" s="2"/>
      <c r="B5" s="2"/>
      <c r="C5" s="2"/>
      <c r="D5" s="3"/>
      <c r="E5" s="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2.75">
      <c r="A7" s="5"/>
      <c r="B7" s="5" t="s">
        <v>2</v>
      </c>
      <c r="C7" s="5"/>
      <c r="D7" s="5"/>
      <c r="E7" s="5"/>
      <c r="F7" s="5"/>
      <c r="G7" s="5" t="s">
        <v>3</v>
      </c>
      <c r="H7" s="5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2.75">
      <c r="A8" s="5"/>
      <c r="B8" s="5"/>
      <c r="C8" s="6" t="s">
        <v>4</v>
      </c>
      <c r="D8" s="6" t="s">
        <v>5</v>
      </c>
      <c r="E8" s="6" t="s">
        <v>6</v>
      </c>
      <c r="F8" s="6" t="s">
        <v>1</v>
      </c>
      <c r="G8" s="6" t="s">
        <v>7</v>
      </c>
      <c r="H8" s="6" t="s">
        <v>8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2.75">
      <c r="A9" s="7">
        <v>100</v>
      </c>
      <c r="B9" s="5" t="s">
        <v>9</v>
      </c>
      <c r="C9" s="8">
        <v>1003770.62</v>
      </c>
      <c r="D9" s="8">
        <v>903855.58</v>
      </c>
      <c r="E9" s="8">
        <v>988785.38</v>
      </c>
      <c r="F9" s="8">
        <v>1114068</v>
      </c>
      <c r="G9" s="9">
        <f aca="true" t="shared" si="0" ref="G9:G11">F9-E9</f>
        <v>125282.62</v>
      </c>
      <c r="H9" s="10">
        <f aca="true" t="shared" si="1" ref="H9:H11">(F9-E9)/E9</f>
        <v>0.12670355219046625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12.75">
      <c r="A10" s="7">
        <v>200</v>
      </c>
      <c r="B10" s="5" t="s">
        <v>10</v>
      </c>
      <c r="C10" s="8">
        <v>238814.17</v>
      </c>
      <c r="D10" s="8">
        <v>264827.88</v>
      </c>
      <c r="E10" s="8">
        <v>313886.51</v>
      </c>
      <c r="F10" s="8">
        <v>375837.9</v>
      </c>
      <c r="G10" s="9">
        <f t="shared" si="0"/>
        <v>61951.390000000014</v>
      </c>
      <c r="H10" s="10">
        <f t="shared" si="1"/>
        <v>0.19736875598763393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2.75">
      <c r="A11" s="5"/>
      <c r="B11" s="5" t="s">
        <v>11</v>
      </c>
      <c r="C11" s="8">
        <f>SUM(C9:C10)</f>
        <v>1242584.79</v>
      </c>
      <c r="D11" s="8">
        <f>D10+D9</f>
        <v>1168683.46</v>
      </c>
      <c r="E11" s="8">
        <f aca="true" t="shared" si="2" ref="E11:F11">SUM(E9:E10)</f>
        <v>1302671.8900000001</v>
      </c>
      <c r="F11" s="8">
        <f t="shared" si="2"/>
        <v>1489905.9</v>
      </c>
      <c r="G11" s="9">
        <f t="shared" si="0"/>
        <v>187234.00999999978</v>
      </c>
      <c r="H11" s="10">
        <f t="shared" si="1"/>
        <v>0.1437307517244421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12.75">
      <c r="A13" s="2"/>
      <c r="B13" s="2"/>
      <c r="C13" s="2"/>
      <c r="D13" s="2"/>
      <c r="E13" s="2"/>
      <c r="F13" s="2"/>
      <c r="G13" s="15">
        <f>F11/F305</f>
        <v>0.8169851410079294</v>
      </c>
      <c r="H13" s="2" t="s">
        <v>97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12.75">
      <c r="A15" s="2"/>
      <c r="B15" s="2" t="s">
        <v>65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2.75">
      <c r="A16" s="5"/>
      <c r="B16" s="11" t="s">
        <v>16</v>
      </c>
      <c r="C16" s="12" t="s">
        <v>17</v>
      </c>
      <c r="D16" s="12" t="s">
        <v>18</v>
      </c>
      <c r="E16" s="12" t="s">
        <v>98</v>
      </c>
      <c r="F16" s="12" t="s">
        <v>20</v>
      </c>
      <c r="G16" s="11" t="s">
        <v>7</v>
      </c>
      <c r="H16" s="12" t="s">
        <v>21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2.75">
      <c r="A17" s="5"/>
      <c r="B17" s="5"/>
      <c r="C17" s="5"/>
      <c r="D17" s="5"/>
      <c r="E17" s="5"/>
      <c r="F17" s="5"/>
      <c r="G17" s="5"/>
      <c r="H17" s="5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12.75">
      <c r="A18" s="7">
        <v>100</v>
      </c>
      <c r="B18" s="5" t="s">
        <v>22</v>
      </c>
      <c r="C18" s="8">
        <v>0</v>
      </c>
      <c r="D18" s="8">
        <v>0</v>
      </c>
      <c r="E18" s="8">
        <v>0</v>
      </c>
      <c r="F18" s="8">
        <v>0</v>
      </c>
      <c r="G18" s="8">
        <f aca="true" t="shared" si="3" ref="G18:G29">F18-E18</f>
        <v>0</v>
      </c>
      <c r="H18" s="10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2.75">
      <c r="A19" s="7">
        <v>200</v>
      </c>
      <c r="B19" s="5" t="s">
        <v>10</v>
      </c>
      <c r="C19" s="8">
        <v>0</v>
      </c>
      <c r="D19" s="8">
        <v>0</v>
      </c>
      <c r="E19" s="8">
        <v>0</v>
      </c>
      <c r="F19" s="8">
        <v>0</v>
      </c>
      <c r="G19" s="8">
        <f t="shared" si="3"/>
        <v>0</v>
      </c>
      <c r="H19" s="10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2.75">
      <c r="A20" s="7">
        <v>300</v>
      </c>
      <c r="B20" s="5" t="s">
        <v>23</v>
      </c>
      <c r="C20" s="8">
        <v>0</v>
      </c>
      <c r="D20" s="8">
        <v>0</v>
      </c>
      <c r="E20" s="8">
        <v>0</v>
      </c>
      <c r="F20" s="8">
        <v>0</v>
      </c>
      <c r="G20" s="8">
        <f t="shared" si="3"/>
        <v>0</v>
      </c>
      <c r="H20" s="10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2.75">
      <c r="A21" s="7">
        <v>400</v>
      </c>
      <c r="B21" s="5" t="s">
        <v>24</v>
      </c>
      <c r="C21" s="8">
        <v>0</v>
      </c>
      <c r="D21" s="8">
        <v>0</v>
      </c>
      <c r="E21" s="8">
        <v>0</v>
      </c>
      <c r="F21" s="8">
        <v>0</v>
      </c>
      <c r="G21" s="8">
        <f t="shared" si="3"/>
        <v>0</v>
      </c>
      <c r="H21" s="10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12.75">
      <c r="A22" s="7">
        <v>561</v>
      </c>
      <c r="B22" s="5" t="s">
        <v>25</v>
      </c>
      <c r="C22" s="8">
        <v>0</v>
      </c>
      <c r="D22" s="8">
        <v>0</v>
      </c>
      <c r="E22" s="8">
        <v>0</v>
      </c>
      <c r="F22" s="8">
        <v>0</v>
      </c>
      <c r="G22" s="8">
        <f t="shared" si="3"/>
        <v>0</v>
      </c>
      <c r="H22" s="10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12.75">
      <c r="A23" s="7">
        <v>593</v>
      </c>
      <c r="B23" s="5" t="s">
        <v>26</v>
      </c>
      <c r="C23" s="8">
        <v>0</v>
      </c>
      <c r="D23" s="8">
        <v>0</v>
      </c>
      <c r="E23" s="8">
        <v>0</v>
      </c>
      <c r="F23" s="8">
        <v>0</v>
      </c>
      <c r="G23" s="8">
        <f t="shared" si="3"/>
        <v>0</v>
      </c>
      <c r="H23" s="10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2.75">
      <c r="A24" s="7">
        <v>566</v>
      </c>
      <c r="B24" s="5" t="s">
        <v>27</v>
      </c>
      <c r="C24" s="8">
        <v>0</v>
      </c>
      <c r="D24" s="8">
        <v>0</v>
      </c>
      <c r="E24" s="8">
        <v>0</v>
      </c>
      <c r="F24" s="8">
        <v>0</v>
      </c>
      <c r="G24" s="8">
        <f t="shared" si="3"/>
        <v>0</v>
      </c>
      <c r="H24" s="10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2.75">
      <c r="A25" s="7">
        <v>500</v>
      </c>
      <c r="B25" s="5" t="s">
        <v>28</v>
      </c>
      <c r="C25" s="8">
        <v>0</v>
      </c>
      <c r="D25" s="8">
        <v>0</v>
      </c>
      <c r="E25" s="8">
        <v>0</v>
      </c>
      <c r="F25" s="8">
        <v>0</v>
      </c>
      <c r="G25" s="8">
        <f t="shared" si="3"/>
        <v>0</v>
      </c>
      <c r="H25" s="10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12.75">
      <c r="A26" s="7">
        <v>600</v>
      </c>
      <c r="B26" s="5" t="s">
        <v>29</v>
      </c>
      <c r="C26" s="8">
        <v>0</v>
      </c>
      <c r="D26" s="8">
        <v>0</v>
      </c>
      <c r="E26" s="8">
        <v>0</v>
      </c>
      <c r="F26" s="8">
        <v>0</v>
      </c>
      <c r="G26" s="8">
        <f t="shared" si="3"/>
        <v>0</v>
      </c>
      <c r="H26" s="10">
        <v>0</v>
      </c>
      <c r="I26" s="15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12.75">
      <c r="A27" s="7">
        <v>700</v>
      </c>
      <c r="B27" s="5" t="s">
        <v>30</v>
      </c>
      <c r="C27" s="8">
        <v>0</v>
      </c>
      <c r="D27" s="8">
        <v>0</v>
      </c>
      <c r="E27" s="8">
        <v>0</v>
      </c>
      <c r="F27" s="8">
        <v>0</v>
      </c>
      <c r="G27" s="8">
        <f t="shared" si="3"/>
        <v>0</v>
      </c>
      <c r="H27" s="10">
        <v>0</v>
      </c>
      <c r="I27" s="15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12.75">
      <c r="A28" s="7">
        <v>800</v>
      </c>
      <c r="B28" s="5" t="s">
        <v>31</v>
      </c>
      <c r="C28" s="8">
        <v>83347.44</v>
      </c>
      <c r="D28" s="8">
        <v>80122.89</v>
      </c>
      <c r="E28" s="8">
        <v>77646.14</v>
      </c>
      <c r="F28" s="8">
        <v>78809.5</v>
      </c>
      <c r="G28" s="8">
        <f t="shared" si="3"/>
        <v>1163.3600000000006</v>
      </c>
      <c r="H28" s="10">
        <f>G28/E28</f>
        <v>0.014982843963653578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12.75">
      <c r="A29" s="7">
        <v>900</v>
      </c>
      <c r="B29" s="5" t="s">
        <v>32</v>
      </c>
      <c r="C29" s="8">
        <v>0</v>
      </c>
      <c r="D29" s="8">
        <v>0</v>
      </c>
      <c r="E29" s="8">
        <v>0</v>
      </c>
      <c r="F29" s="8">
        <v>0</v>
      </c>
      <c r="G29" s="8">
        <f t="shared" si="3"/>
        <v>0</v>
      </c>
      <c r="H29" s="10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12.75">
      <c r="A30" s="5"/>
      <c r="B30" s="5"/>
      <c r="C30" s="8">
        <f aca="true" t="shared" si="4" ref="C30:G30">SUM(C18:C29)</f>
        <v>83347.44</v>
      </c>
      <c r="D30" s="8">
        <f t="shared" si="4"/>
        <v>80122.89</v>
      </c>
      <c r="E30" s="8">
        <f t="shared" si="4"/>
        <v>77646.14</v>
      </c>
      <c r="F30" s="8">
        <f t="shared" si="4"/>
        <v>78809.5</v>
      </c>
      <c r="G30" s="8">
        <f t="shared" si="4"/>
        <v>1163.3600000000006</v>
      </c>
      <c r="H30" s="10">
        <f>G30/E30</f>
        <v>0.014982843963653578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2.75">
      <c r="A31" s="2"/>
      <c r="B31" s="2"/>
      <c r="C31" s="14"/>
      <c r="D31" s="14"/>
      <c r="E31" s="14"/>
      <c r="F31" s="14"/>
      <c r="G31" s="14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ht="12.75">
      <c r="A32" s="2"/>
      <c r="B32" s="2"/>
      <c r="C32" s="14"/>
      <c r="D32" s="14"/>
      <c r="E32" s="14"/>
      <c r="F32" s="14"/>
      <c r="G32" s="14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ht="12.75">
      <c r="A33" s="2"/>
      <c r="B33" s="2" t="s">
        <v>66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ht="12.75">
      <c r="A34" s="5"/>
      <c r="B34" s="11" t="s">
        <v>16</v>
      </c>
      <c r="C34" s="12" t="s">
        <v>17</v>
      </c>
      <c r="D34" s="12" t="s">
        <v>18</v>
      </c>
      <c r="E34" s="12" t="s">
        <v>98</v>
      </c>
      <c r="F34" s="12" t="s">
        <v>20</v>
      </c>
      <c r="G34" s="11" t="s">
        <v>7</v>
      </c>
      <c r="H34" s="12" t="s">
        <v>21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ht="12.75">
      <c r="A35" s="5"/>
      <c r="B35" s="5"/>
      <c r="C35" s="5"/>
      <c r="D35" s="5"/>
      <c r="E35" s="5"/>
      <c r="F35" s="5"/>
      <c r="G35" s="5"/>
      <c r="H35" s="5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ht="12.75">
      <c r="A36" s="7">
        <v>100</v>
      </c>
      <c r="B36" s="5" t="s">
        <v>22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10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ht="12.75">
      <c r="A37" s="7">
        <v>200</v>
      </c>
      <c r="B37" s="5" t="s">
        <v>10</v>
      </c>
      <c r="C37" s="8">
        <v>0</v>
      </c>
      <c r="D37" s="8">
        <v>0</v>
      </c>
      <c r="E37" s="8">
        <v>0</v>
      </c>
      <c r="F37" s="8">
        <v>0</v>
      </c>
      <c r="G37" s="8">
        <f aca="true" t="shared" si="5" ref="G37:G47">F37-E37</f>
        <v>0</v>
      </c>
      <c r="H37" s="10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ht="12.75">
      <c r="A38" s="7">
        <v>300</v>
      </c>
      <c r="B38" s="5" t="s">
        <v>23</v>
      </c>
      <c r="C38" s="8">
        <v>0</v>
      </c>
      <c r="D38" s="8">
        <v>0</v>
      </c>
      <c r="E38" s="8">
        <v>0</v>
      </c>
      <c r="F38" s="8">
        <v>0</v>
      </c>
      <c r="G38" s="8">
        <f t="shared" si="5"/>
        <v>0</v>
      </c>
      <c r="H38" s="10">
        <v>0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ht="12.75">
      <c r="A39" s="7">
        <v>400</v>
      </c>
      <c r="B39" s="5" t="s">
        <v>24</v>
      </c>
      <c r="C39" s="8">
        <v>0</v>
      </c>
      <c r="D39" s="8">
        <v>0</v>
      </c>
      <c r="E39" s="8">
        <v>0</v>
      </c>
      <c r="F39" s="8">
        <v>0</v>
      </c>
      <c r="G39" s="8">
        <f t="shared" si="5"/>
        <v>0</v>
      </c>
      <c r="H39" s="10">
        <v>0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ht="12.75">
      <c r="A40" s="7">
        <v>561</v>
      </c>
      <c r="B40" s="5" t="s">
        <v>25</v>
      </c>
      <c r="C40" s="8">
        <v>0</v>
      </c>
      <c r="D40" s="8">
        <v>0</v>
      </c>
      <c r="E40" s="8">
        <v>0</v>
      </c>
      <c r="F40" s="8">
        <v>0</v>
      </c>
      <c r="G40" s="8">
        <f t="shared" si="5"/>
        <v>0</v>
      </c>
      <c r="H40" s="10">
        <v>0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ht="12.75">
      <c r="A41" s="7">
        <v>593</v>
      </c>
      <c r="B41" s="5" t="s">
        <v>26</v>
      </c>
      <c r="C41" s="8">
        <v>0</v>
      </c>
      <c r="D41" s="8">
        <v>0</v>
      </c>
      <c r="E41" s="8">
        <v>0</v>
      </c>
      <c r="F41" s="8">
        <v>0</v>
      </c>
      <c r="G41" s="8">
        <f t="shared" si="5"/>
        <v>0</v>
      </c>
      <c r="H41" s="10">
        <v>0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ht="12.75">
      <c r="A42" s="7">
        <v>566</v>
      </c>
      <c r="B42" s="5" t="s">
        <v>27</v>
      </c>
      <c r="C42" s="8">
        <v>0</v>
      </c>
      <c r="D42" s="8">
        <v>0</v>
      </c>
      <c r="E42" s="8">
        <v>0</v>
      </c>
      <c r="F42" s="8">
        <v>0</v>
      </c>
      <c r="G42" s="8">
        <f t="shared" si="5"/>
        <v>0</v>
      </c>
      <c r="H42" s="10">
        <v>0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ht="12.75">
      <c r="A43" s="7">
        <v>500</v>
      </c>
      <c r="B43" s="5" t="s">
        <v>28</v>
      </c>
      <c r="C43" s="8">
        <v>0</v>
      </c>
      <c r="D43" s="8">
        <v>0</v>
      </c>
      <c r="E43" s="8">
        <v>0</v>
      </c>
      <c r="F43" s="8">
        <v>0</v>
      </c>
      <c r="G43" s="8">
        <f t="shared" si="5"/>
        <v>0</v>
      </c>
      <c r="H43" s="10">
        <v>0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ht="12.75">
      <c r="A44" s="7">
        <v>600</v>
      </c>
      <c r="B44" s="5" t="s">
        <v>29</v>
      </c>
      <c r="C44" s="8">
        <v>0</v>
      </c>
      <c r="D44" s="8">
        <v>0</v>
      </c>
      <c r="E44" s="8">
        <v>0</v>
      </c>
      <c r="F44" s="8">
        <v>0</v>
      </c>
      <c r="G44" s="8">
        <f t="shared" si="5"/>
        <v>0</v>
      </c>
      <c r="H44" s="10">
        <v>0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ht="12.75">
      <c r="A45" s="7">
        <v>700</v>
      </c>
      <c r="B45" s="5" t="s">
        <v>30</v>
      </c>
      <c r="C45" s="8">
        <v>0</v>
      </c>
      <c r="D45" s="8">
        <v>0</v>
      </c>
      <c r="E45" s="8">
        <v>0</v>
      </c>
      <c r="F45" s="8">
        <v>0</v>
      </c>
      <c r="G45" s="8">
        <f t="shared" si="5"/>
        <v>0</v>
      </c>
      <c r="H45" s="10">
        <v>0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ht="12.75">
      <c r="A46" s="7">
        <v>800</v>
      </c>
      <c r="B46" s="5" t="s">
        <v>31</v>
      </c>
      <c r="C46" s="8">
        <v>0</v>
      </c>
      <c r="D46" s="8">
        <v>0</v>
      </c>
      <c r="E46" s="8">
        <v>0</v>
      </c>
      <c r="F46" s="8">
        <v>0</v>
      </c>
      <c r="G46" s="8">
        <f t="shared" si="5"/>
        <v>0</v>
      </c>
      <c r="H46" s="10">
        <v>0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ht="12.75">
      <c r="A47" s="7">
        <v>900</v>
      </c>
      <c r="B47" s="5" t="s">
        <v>32</v>
      </c>
      <c r="C47" s="8">
        <v>0</v>
      </c>
      <c r="D47" s="8">
        <v>0</v>
      </c>
      <c r="E47" s="8">
        <v>0</v>
      </c>
      <c r="F47" s="8">
        <v>0</v>
      </c>
      <c r="G47" s="8">
        <f t="shared" si="5"/>
        <v>0</v>
      </c>
      <c r="H47" s="10">
        <v>0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ht="12.75">
      <c r="A48" s="5"/>
      <c r="B48" s="5"/>
      <c r="C48" s="8">
        <f>SUM(C36:C47)</f>
        <v>0</v>
      </c>
      <c r="D48" s="8">
        <v>0</v>
      </c>
      <c r="E48" s="8">
        <f aca="true" t="shared" si="6" ref="E48:G48">SUM(E36:E47)</f>
        <v>0</v>
      </c>
      <c r="F48" s="8">
        <f t="shared" si="6"/>
        <v>0</v>
      </c>
      <c r="G48" s="8">
        <f t="shared" si="6"/>
        <v>0</v>
      </c>
      <c r="H48" s="10">
        <v>0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ht="12.75">
      <c r="A51" s="2"/>
      <c r="B51" s="2" t="s">
        <v>68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ht="12.75">
      <c r="A52" s="5"/>
      <c r="B52" s="11" t="s">
        <v>16</v>
      </c>
      <c r="C52" s="12" t="s">
        <v>17</v>
      </c>
      <c r="D52" s="12" t="s">
        <v>18</v>
      </c>
      <c r="E52" s="12" t="s">
        <v>98</v>
      </c>
      <c r="F52" s="12" t="s">
        <v>20</v>
      </c>
      <c r="G52" s="11" t="s">
        <v>7</v>
      </c>
      <c r="H52" s="12" t="s">
        <v>21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ht="12.75">
      <c r="A53" s="5"/>
      <c r="B53" s="5"/>
      <c r="C53" s="5"/>
      <c r="D53" s="5"/>
      <c r="E53" s="5"/>
      <c r="F53" s="5"/>
      <c r="G53" s="5"/>
      <c r="H53" s="5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ht="12.75">
      <c r="A54" s="7">
        <v>100</v>
      </c>
      <c r="B54" s="5" t="s">
        <v>22</v>
      </c>
      <c r="C54" s="8">
        <f>601023.42+3585</f>
        <v>604608.42</v>
      </c>
      <c r="D54" s="8">
        <v>558542.86</v>
      </c>
      <c r="E54" s="8">
        <f>606415+4385</f>
        <v>610800</v>
      </c>
      <c r="F54" s="8">
        <v>634578</v>
      </c>
      <c r="G54" s="8">
        <f aca="true" t="shared" si="7" ref="G54:G65">F54-E54</f>
        <v>23778</v>
      </c>
      <c r="H54" s="10">
        <f aca="true" t="shared" si="8" ref="H54:H55">G54/E54</f>
        <v>0.03892927308447937</v>
      </c>
      <c r="I54" s="2" t="s">
        <v>99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ht="12.75">
      <c r="A55" s="7">
        <v>200</v>
      </c>
      <c r="B55" s="5" t="s">
        <v>10</v>
      </c>
      <c r="C55" s="8">
        <f>148225.45+274.28+11.98+21.51</f>
        <v>148533.22000000003</v>
      </c>
      <c r="D55" s="8">
        <v>174025.38</v>
      </c>
      <c r="E55" s="8">
        <f>193487.56+335+30+26</f>
        <v>193878.56</v>
      </c>
      <c r="F55" s="8">
        <v>202275.64</v>
      </c>
      <c r="G55" s="8">
        <f t="shared" si="7"/>
        <v>8397.080000000016</v>
      </c>
      <c r="H55" s="10">
        <f t="shared" si="8"/>
        <v>0.04331102933712741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 ht="12.75">
      <c r="A56" s="7">
        <v>300</v>
      </c>
      <c r="B56" s="5" t="s">
        <v>23</v>
      </c>
      <c r="C56" s="8">
        <f>594.12+5000</f>
        <v>5594.12</v>
      </c>
      <c r="D56" s="8">
        <v>3627.81</v>
      </c>
      <c r="E56" s="8">
        <f aca="true" t="shared" si="9" ref="E56:F56">1650+2500</f>
        <v>4150</v>
      </c>
      <c r="F56" s="8">
        <f t="shared" si="9"/>
        <v>4150</v>
      </c>
      <c r="G56" s="8">
        <f t="shared" si="7"/>
        <v>0</v>
      </c>
      <c r="H56" s="10">
        <v>0</v>
      </c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ht="12.75">
      <c r="A57" s="7">
        <v>400</v>
      </c>
      <c r="B57" s="5" t="s">
        <v>24</v>
      </c>
      <c r="C57" s="8">
        <v>214.72</v>
      </c>
      <c r="D57" s="8">
        <v>0</v>
      </c>
      <c r="E57" s="8">
        <v>400</v>
      </c>
      <c r="F57" s="8">
        <v>400</v>
      </c>
      <c r="G57" s="8">
        <f t="shared" si="7"/>
        <v>0</v>
      </c>
      <c r="H57" s="10">
        <f aca="true" t="shared" si="10" ref="H57:H58">G57/E57</f>
        <v>0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 ht="12.75">
      <c r="A58" s="7">
        <v>561</v>
      </c>
      <c r="B58" s="5" t="s">
        <v>25</v>
      </c>
      <c r="C58" s="8">
        <v>31998</v>
      </c>
      <c r="D58" s="8">
        <v>27495</v>
      </c>
      <c r="E58" s="8">
        <v>21993</v>
      </c>
      <c r="F58" s="8">
        <v>33951</v>
      </c>
      <c r="G58" s="8">
        <f t="shared" si="7"/>
        <v>11958</v>
      </c>
      <c r="H58" s="10">
        <f t="shared" si="10"/>
        <v>0.543718455872323</v>
      </c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 ht="12.75">
      <c r="A59" s="7">
        <v>593</v>
      </c>
      <c r="B59" s="5" t="s">
        <v>26</v>
      </c>
      <c r="C59" s="8">
        <v>0</v>
      </c>
      <c r="D59" s="8">
        <v>0</v>
      </c>
      <c r="E59" s="8">
        <v>0</v>
      </c>
      <c r="F59" s="8">
        <v>0</v>
      </c>
      <c r="G59" s="8">
        <f t="shared" si="7"/>
        <v>0</v>
      </c>
      <c r="H59" s="10">
        <v>0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 ht="12.75">
      <c r="A60" s="7">
        <v>566</v>
      </c>
      <c r="B60" s="5" t="s">
        <v>27</v>
      </c>
      <c r="C60" s="8">
        <v>0</v>
      </c>
      <c r="D60" s="8">
        <v>0</v>
      </c>
      <c r="E60" s="8">
        <v>0</v>
      </c>
      <c r="F60" s="8">
        <v>0</v>
      </c>
      <c r="G60" s="8">
        <f t="shared" si="7"/>
        <v>0</v>
      </c>
      <c r="H60" s="10">
        <v>0</v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ht="12.75">
      <c r="A61" s="7">
        <v>500</v>
      </c>
      <c r="B61" s="5" t="s">
        <v>28</v>
      </c>
      <c r="C61" s="8">
        <v>54.88</v>
      </c>
      <c r="D61" s="8">
        <v>0</v>
      </c>
      <c r="E61" s="8">
        <v>200</v>
      </c>
      <c r="F61" s="8">
        <v>200</v>
      </c>
      <c r="G61" s="8">
        <f t="shared" si="7"/>
        <v>0</v>
      </c>
      <c r="H61" s="10">
        <f aca="true" t="shared" si="11" ref="H61:H63">G61/E61</f>
        <v>0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ht="12.75">
      <c r="A62" s="7">
        <v>600</v>
      </c>
      <c r="B62" s="5" t="s">
        <v>29</v>
      </c>
      <c r="C62" s="8">
        <v>16129.67</v>
      </c>
      <c r="D62" s="8">
        <v>17423.01</v>
      </c>
      <c r="E62" s="8">
        <v>24835</v>
      </c>
      <c r="F62" s="8">
        <v>22335</v>
      </c>
      <c r="G62" s="8">
        <f t="shared" si="7"/>
        <v>-2500</v>
      </c>
      <c r="H62" s="10">
        <f t="shared" si="11"/>
        <v>-0.10066438494060802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ht="12.75">
      <c r="A63" s="7">
        <v>700</v>
      </c>
      <c r="B63" s="5" t="s">
        <v>30</v>
      </c>
      <c r="C63" s="8">
        <v>502.94</v>
      </c>
      <c r="D63" s="8">
        <v>134.98</v>
      </c>
      <c r="E63" s="8">
        <v>1000</v>
      </c>
      <c r="F63" s="8">
        <v>1000</v>
      </c>
      <c r="G63" s="8">
        <f t="shared" si="7"/>
        <v>0</v>
      </c>
      <c r="H63" s="10">
        <f t="shared" si="11"/>
        <v>0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ht="12.75">
      <c r="A64" s="7">
        <v>800</v>
      </c>
      <c r="B64" s="5" t="s">
        <v>31</v>
      </c>
      <c r="C64" s="8">
        <v>0</v>
      </c>
      <c r="D64" s="8">
        <v>0</v>
      </c>
      <c r="E64" s="8">
        <v>0</v>
      </c>
      <c r="F64" s="8">
        <v>0</v>
      </c>
      <c r="G64" s="8">
        <f t="shared" si="7"/>
        <v>0</v>
      </c>
      <c r="H64" s="10">
        <v>0</v>
      </c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ht="12.75">
      <c r="A65" s="7">
        <v>900</v>
      </c>
      <c r="B65" s="5" t="s">
        <v>32</v>
      </c>
      <c r="C65" s="8">
        <v>0</v>
      </c>
      <c r="D65" s="8">
        <v>0</v>
      </c>
      <c r="E65" s="8">
        <v>0</v>
      </c>
      <c r="F65" s="8">
        <v>0</v>
      </c>
      <c r="G65" s="8">
        <f t="shared" si="7"/>
        <v>0</v>
      </c>
      <c r="H65" s="10">
        <v>0</v>
      </c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 ht="12.75">
      <c r="A66" s="5"/>
      <c r="B66" s="5"/>
      <c r="C66" s="8">
        <f aca="true" t="shared" si="12" ref="C66:G66">SUM(C54:C65)</f>
        <v>807635.9700000001</v>
      </c>
      <c r="D66" s="8">
        <f t="shared" si="12"/>
        <v>781249.04</v>
      </c>
      <c r="E66" s="8">
        <f t="shared" si="12"/>
        <v>857256.56</v>
      </c>
      <c r="F66" s="8">
        <f t="shared" si="12"/>
        <v>898889.64</v>
      </c>
      <c r="G66" s="8">
        <f t="shared" si="12"/>
        <v>41633.080000000016</v>
      </c>
      <c r="H66" s="10">
        <f>G66/E66</f>
        <v>0.04856548429329023</v>
      </c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28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 ht="12.75">
      <c r="A69" s="2"/>
      <c r="B69" s="2" t="s">
        <v>70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28" ht="12.75">
      <c r="A70" s="5"/>
      <c r="B70" s="11" t="s">
        <v>16</v>
      </c>
      <c r="C70" s="12" t="s">
        <v>17</v>
      </c>
      <c r="D70" s="12" t="s">
        <v>18</v>
      </c>
      <c r="E70" s="12" t="s">
        <v>98</v>
      </c>
      <c r="F70" s="12" t="s">
        <v>20</v>
      </c>
      <c r="G70" s="11" t="s">
        <v>7</v>
      </c>
      <c r="H70" s="12" t="s">
        <v>21</v>
      </c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:28" ht="12.75">
      <c r="A71" s="5"/>
      <c r="B71" s="5"/>
      <c r="C71" s="5"/>
      <c r="D71" s="5"/>
      <c r="E71" s="5"/>
      <c r="F71" s="5"/>
      <c r="G71" s="5"/>
      <c r="H71" s="5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 ht="12.75">
      <c r="A72" s="7">
        <v>100</v>
      </c>
      <c r="B72" s="5" t="s">
        <v>22</v>
      </c>
      <c r="C72" s="8">
        <v>0</v>
      </c>
      <c r="D72" s="8">
        <v>0</v>
      </c>
      <c r="E72" s="8">
        <v>0</v>
      </c>
      <c r="F72" s="8">
        <v>0</v>
      </c>
      <c r="G72" s="8">
        <f aca="true" t="shared" si="13" ref="G72:G83">F72-E72</f>
        <v>0</v>
      </c>
      <c r="H72" s="10">
        <v>0</v>
      </c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 ht="12.75">
      <c r="A73" s="7">
        <v>200</v>
      </c>
      <c r="B73" s="5" t="s">
        <v>10</v>
      </c>
      <c r="C73" s="8">
        <v>0</v>
      </c>
      <c r="D73" s="8">
        <v>0</v>
      </c>
      <c r="E73" s="8">
        <v>0</v>
      </c>
      <c r="F73" s="8">
        <v>0</v>
      </c>
      <c r="G73" s="8">
        <f t="shared" si="13"/>
        <v>0</v>
      </c>
      <c r="H73" s="10">
        <v>0</v>
      </c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 ht="12.75">
      <c r="A74" s="7">
        <v>300</v>
      </c>
      <c r="B74" s="5" t="s">
        <v>23</v>
      </c>
      <c r="C74" s="8">
        <v>0</v>
      </c>
      <c r="D74" s="8">
        <v>0</v>
      </c>
      <c r="E74" s="8">
        <v>0</v>
      </c>
      <c r="F74" s="8">
        <v>0</v>
      </c>
      <c r="G74" s="8">
        <f t="shared" si="13"/>
        <v>0</v>
      </c>
      <c r="H74" s="10">
        <v>0</v>
      </c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 ht="12.75">
      <c r="A75" s="7">
        <v>400</v>
      </c>
      <c r="B75" s="5" t="s">
        <v>24</v>
      </c>
      <c r="C75" s="8">
        <v>0</v>
      </c>
      <c r="D75" s="8">
        <v>0</v>
      </c>
      <c r="E75" s="8">
        <v>0</v>
      </c>
      <c r="F75" s="8">
        <v>0</v>
      </c>
      <c r="G75" s="8">
        <f t="shared" si="13"/>
        <v>0</v>
      </c>
      <c r="H75" s="10">
        <v>0</v>
      </c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8" ht="12.75">
      <c r="A76" s="7">
        <v>561</v>
      </c>
      <c r="B76" s="5" t="s">
        <v>25</v>
      </c>
      <c r="C76" s="8">
        <v>0</v>
      </c>
      <c r="D76" s="8">
        <v>0</v>
      </c>
      <c r="E76" s="8">
        <v>0</v>
      </c>
      <c r="F76" s="8">
        <v>0</v>
      </c>
      <c r="G76" s="8">
        <f t="shared" si="13"/>
        <v>0</v>
      </c>
      <c r="H76" s="10">
        <v>0</v>
      </c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:28" ht="12.75">
      <c r="A77" s="7">
        <v>593</v>
      </c>
      <c r="B77" s="5" t="s">
        <v>26</v>
      </c>
      <c r="C77" s="8">
        <v>0</v>
      </c>
      <c r="D77" s="8">
        <v>0</v>
      </c>
      <c r="E77" s="8">
        <v>0</v>
      </c>
      <c r="F77" s="8">
        <v>0</v>
      </c>
      <c r="G77" s="8">
        <f t="shared" si="13"/>
        <v>0</v>
      </c>
      <c r="H77" s="10">
        <v>0</v>
      </c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28" ht="12.75">
      <c r="A78" s="7">
        <v>566</v>
      </c>
      <c r="B78" s="5" t="s">
        <v>27</v>
      </c>
      <c r="C78" s="8">
        <v>0</v>
      </c>
      <c r="D78" s="8">
        <v>0</v>
      </c>
      <c r="E78" s="8">
        <v>0</v>
      </c>
      <c r="F78" s="8">
        <v>0</v>
      </c>
      <c r="G78" s="8">
        <f t="shared" si="13"/>
        <v>0</v>
      </c>
      <c r="H78" s="10">
        <v>0</v>
      </c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1:28" ht="12.75">
      <c r="A79" s="7">
        <v>500</v>
      </c>
      <c r="B79" s="5" t="s">
        <v>28</v>
      </c>
      <c r="C79" s="8">
        <v>0</v>
      </c>
      <c r="D79" s="8">
        <v>0</v>
      </c>
      <c r="E79" s="8">
        <v>0</v>
      </c>
      <c r="F79" s="8">
        <v>0</v>
      </c>
      <c r="G79" s="8">
        <f t="shared" si="13"/>
        <v>0</v>
      </c>
      <c r="H79" s="10">
        <v>0</v>
      </c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1:28" ht="12.75">
      <c r="A80" s="7">
        <v>600</v>
      </c>
      <c r="B80" s="5" t="s">
        <v>29</v>
      </c>
      <c r="C80" s="8">
        <v>0</v>
      </c>
      <c r="D80" s="8">
        <v>0</v>
      </c>
      <c r="E80" s="8">
        <v>0</v>
      </c>
      <c r="F80" s="8">
        <v>0</v>
      </c>
      <c r="G80" s="8">
        <f t="shared" si="13"/>
        <v>0</v>
      </c>
      <c r="H80" s="10">
        <v>0</v>
      </c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spans="1:28" ht="12.75">
      <c r="A81" s="7">
        <v>700</v>
      </c>
      <c r="B81" s="5" t="s">
        <v>30</v>
      </c>
      <c r="C81" s="8">
        <v>0</v>
      </c>
      <c r="D81" s="8">
        <v>0</v>
      </c>
      <c r="E81" s="8">
        <v>0</v>
      </c>
      <c r="F81" s="8">
        <v>0</v>
      </c>
      <c r="G81" s="8">
        <f t="shared" si="13"/>
        <v>0</v>
      </c>
      <c r="H81" s="10">
        <v>0</v>
      </c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1:28" ht="12.75">
      <c r="A82" s="7">
        <v>800</v>
      </c>
      <c r="B82" s="5" t="s">
        <v>31</v>
      </c>
      <c r="C82" s="8">
        <v>0</v>
      </c>
      <c r="D82" s="8">
        <v>0</v>
      </c>
      <c r="E82" s="8">
        <v>0</v>
      </c>
      <c r="F82" s="8">
        <v>0</v>
      </c>
      <c r="G82" s="8">
        <f t="shared" si="13"/>
        <v>0</v>
      </c>
      <c r="H82" s="10">
        <v>0</v>
      </c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1:28" ht="12.75">
      <c r="A83" s="7">
        <v>900</v>
      </c>
      <c r="B83" s="5" t="s">
        <v>32</v>
      </c>
      <c r="C83" s="8">
        <v>0</v>
      </c>
      <c r="D83" s="8">
        <v>0</v>
      </c>
      <c r="E83" s="8">
        <v>0</v>
      </c>
      <c r="F83" s="8">
        <v>0</v>
      </c>
      <c r="G83" s="8">
        <f t="shared" si="13"/>
        <v>0</v>
      </c>
      <c r="H83" s="10">
        <v>0</v>
      </c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1:28" ht="12.75">
      <c r="A84" s="5"/>
      <c r="B84" s="5"/>
      <c r="C84" s="8">
        <f>SUM(C72:C83)</f>
        <v>0</v>
      </c>
      <c r="D84" s="8">
        <v>0</v>
      </c>
      <c r="E84" s="8">
        <f aca="true" t="shared" si="14" ref="E84:G84">SUM(E72:E83)</f>
        <v>0</v>
      </c>
      <c r="F84" s="8">
        <f t="shared" si="14"/>
        <v>0</v>
      </c>
      <c r="G84" s="8">
        <f t="shared" si="14"/>
        <v>0</v>
      </c>
      <c r="H84" s="10">
        <v>0</v>
      </c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1:28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1:28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1:28" ht="12.75">
      <c r="A87" s="2"/>
      <c r="B87" s="2" t="s">
        <v>72</v>
      </c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1:28" ht="12.75">
      <c r="A88" s="5"/>
      <c r="B88" s="11" t="s">
        <v>16</v>
      </c>
      <c r="C88" s="12" t="s">
        <v>17</v>
      </c>
      <c r="D88" s="12" t="s">
        <v>18</v>
      </c>
      <c r="E88" s="12" t="s">
        <v>98</v>
      </c>
      <c r="F88" s="12" t="s">
        <v>20</v>
      </c>
      <c r="G88" s="11" t="s">
        <v>7</v>
      </c>
      <c r="H88" s="12" t="s">
        <v>21</v>
      </c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pans="1:28" ht="12.75">
      <c r="A89" s="5"/>
      <c r="B89" s="5"/>
      <c r="C89" s="5"/>
      <c r="D89" s="5"/>
      <c r="E89" s="5"/>
      <c r="F89" s="5"/>
      <c r="G89" s="5"/>
      <c r="H89" s="5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1:28" ht="12.75">
      <c r="A90" s="7">
        <v>100</v>
      </c>
      <c r="B90" s="5" t="s">
        <v>22</v>
      </c>
      <c r="C90" s="8">
        <v>0</v>
      </c>
      <c r="D90" s="8">
        <v>0</v>
      </c>
      <c r="E90" s="8">
        <v>0</v>
      </c>
      <c r="F90" s="8">
        <v>0</v>
      </c>
      <c r="G90" s="8">
        <f aca="true" t="shared" si="15" ref="G90:G101">F90-E90</f>
        <v>0</v>
      </c>
      <c r="H90" s="10">
        <v>0</v>
      </c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spans="1:28" ht="12.75">
      <c r="A91" s="7">
        <v>200</v>
      </c>
      <c r="B91" s="5" t="s">
        <v>10</v>
      </c>
      <c r="C91" s="8">
        <v>0</v>
      </c>
      <c r="D91" s="8">
        <v>0</v>
      </c>
      <c r="E91" s="8">
        <v>770</v>
      </c>
      <c r="F91" s="8">
        <v>820</v>
      </c>
      <c r="G91" s="8">
        <f t="shared" si="15"/>
        <v>50</v>
      </c>
      <c r="H91" s="10">
        <f>G91/E91</f>
        <v>0.06493506493506493</v>
      </c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pans="1:28" ht="12.75">
      <c r="A92" s="7">
        <v>300</v>
      </c>
      <c r="B92" s="5" t="s">
        <v>23</v>
      </c>
      <c r="C92" s="8">
        <v>0</v>
      </c>
      <c r="D92" s="8">
        <v>0</v>
      </c>
      <c r="E92" s="8">
        <v>0</v>
      </c>
      <c r="F92" s="8">
        <v>40000</v>
      </c>
      <c r="G92" s="8">
        <f t="shared" si="15"/>
        <v>40000</v>
      </c>
      <c r="H92" s="10">
        <v>0</v>
      </c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spans="1:28" ht="12.75">
      <c r="A93" s="7">
        <v>400</v>
      </c>
      <c r="B93" s="5" t="s">
        <v>24</v>
      </c>
      <c r="C93" s="8">
        <v>0</v>
      </c>
      <c r="D93" s="8">
        <v>0</v>
      </c>
      <c r="E93" s="8">
        <v>0</v>
      </c>
      <c r="F93" s="8">
        <v>0</v>
      </c>
      <c r="G93" s="8">
        <f t="shared" si="15"/>
        <v>0</v>
      </c>
      <c r="H93" s="10">
        <v>0</v>
      </c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1:28" ht="12.75">
      <c r="A94" s="7">
        <v>561</v>
      </c>
      <c r="B94" s="5" t="s">
        <v>25</v>
      </c>
      <c r="C94" s="8">
        <v>0</v>
      </c>
      <c r="D94" s="8">
        <v>0</v>
      </c>
      <c r="E94" s="8">
        <v>0</v>
      </c>
      <c r="F94" s="8">
        <v>0</v>
      </c>
      <c r="G94" s="8">
        <f t="shared" si="15"/>
        <v>0</v>
      </c>
      <c r="H94" s="10">
        <v>0</v>
      </c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1:28" ht="12.75">
      <c r="A95" s="7">
        <v>593</v>
      </c>
      <c r="B95" s="5" t="s">
        <v>26</v>
      </c>
      <c r="C95" s="8">
        <v>0</v>
      </c>
      <c r="D95" s="8">
        <v>0</v>
      </c>
      <c r="E95" s="8">
        <v>0</v>
      </c>
      <c r="F95" s="8">
        <v>0</v>
      </c>
      <c r="G95" s="8">
        <f t="shared" si="15"/>
        <v>0</v>
      </c>
      <c r="H95" s="10">
        <v>0</v>
      </c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1:28" ht="12.75">
      <c r="A96" s="7">
        <v>566</v>
      </c>
      <c r="B96" s="5" t="s">
        <v>27</v>
      </c>
      <c r="C96" s="8">
        <v>0</v>
      </c>
      <c r="D96" s="8">
        <v>0</v>
      </c>
      <c r="E96" s="8">
        <v>0</v>
      </c>
      <c r="F96" s="8">
        <v>0</v>
      </c>
      <c r="G96" s="8">
        <f t="shared" si="15"/>
        <v>0</v>
      </c>
      <c r="H96" s="10">
        <v>0</v>
      </c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1:28" ht="12.75">
      <c r="A97" s="7">
        <v>500</v>
      </c>
      <c r="B97" s="5" t="s">
        <v>28</v>
      </c>
      <c r="C97" s="8">
        <v>0</v>
      </c>
      <c r="D97" s="8">
        <v>0</v>
      </c>
      <c r="E97" s="8">
        <v>75</v>
      </c>
      <c r="F97" s="8">
        <v>0</v>
      </c>
      <c r="G97" s="8">
        <f t="shared" si="15"/>
        <v>-75</v>
      </c>
      <c r="H97" s="10">
        <v>0</v>
      </c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1:28" ht="12.75">
      <c r="A98" s="7">
        <v>600</v>
      </c>
      <c r="B98" s="5" t="s">
        <v>29</v>
      </c>
      <c r="C98" s="8">
        <v>1352.99</v>
      </c>
      <c r="D98" s="8">
        <f>163.3+780.5</f>
        <v>943.8</v>
      </c>
      <c r="E98" s="8">
        <v>1100</v>
      </c>
      <c r="F98" s="8">
        <v>1175</v>
      </c>
      <c r="G98" s="8">
        <f t="shared" si="15"/>
        <v>75</v>
      </c>
      <c r="H98" s="10">
        <f>G98/E98</f>
        <v>0.06818181818181818</v>
      </c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1:28" ht="12.75">
      <c r="A99" s="7">
        <v>700</v>
      </c>
      <c r="B99" s="5" t="s">
        <v>30</v>
      </c>
      <c r="C99" s="8">
        <v>0</v>
      </c>
      <c r="D99" s="8">
        <v>0</v>
      </c>
      <c r="E99" s="8">
        <v>0</v>
      </c>
      <c r="F99" s="8">
        <v>0</v>
      </c>
      <c r="G99" s="8">
        <f t="shared" si="15"/>
        <v>0</v>
      </c>
      <c r="H99" s="10">
        <v>0</v>
      </c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1:28" ht="12.75">
      <c r="A100" s="7">
        <v>800</v>
      </c>
      <c r="B100" s="5" t="s">
        <v>31</v>
      </c>
      <c r="C100" s="8">
        <v>0</v>
      </c>
      <c r="D100" s="8">
        <v>0</v>
      </c>
      <c r="E100" s="8">
        <v>0</v>
      </c>
      <c r="F100" s="8">
        <v>0</v>
      </c>
      <c r="G100" s="8">
        <f t="shared" si="15"/>
        <v>0</v>
      </c>
      <c r="H100" s="10">
        <v>0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1:28" ht="12.75">
      <c r="A101" s="7">
        <v>900</v>
      </c>
      <c r="B101" s="5" t="s">
        <v>32</v>
      </c>
      <c r="C101" s="8">
        <v>0</v>
      </c>
      <c r="D101" s="8">
        <v>0</v>
      </c>
      <c r="E101" s="8">
        <v>0</v>
      </c>
      <c r="F101" s="8">
        <v>0</v>
      </c>
      <c r="G101" s="8">
        <f t="shared" si="15"/>
        <v>0</v>
      </c>
      <c r="H101" s="10">
        <v>0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1:28" ht="12.75">
      <c r="A102" s="5"/>
      <c r="B102" s="5"/>
      <c r="C102" s="8">
        <f aca="true" t="shared" si="16" ref="C102:G102">SUM(C90:C101)</f>
        <v>1352.99</v>
      </c>
      <c r="D102" s="8">
        <f t="shared" si="16"/>
        <v>943.8</v>
      </c>
      <c r="E102" s="8">
        <f t="shared" si="16"/>
        <v>1945</v>
      </c>
      <c r="F102" s="8">
        <f t="shared" si="16"/>
        <v>41995</v>
      </c>
      <c r="G102" s="8">
        <f t="shared" si="16"/>
        <v>40050</v>
      </c>
      <c r="H102" s="10">
        <f>G102/E102</f>
        <v>20.591259640102827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1:28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1:28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1:28" ht="12.75">
      <c r="A105" s="2"/>
      <c r="B105" s="2" t="s">
        <v>74</v>
      </c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1:28" ht="12.75">
      <c r="A106" s="5"/>
      <c r="B106" s="11" t="s">
        <v>16</v>
      </c>
      <c r="C106" s="12" t="s">
        <v>17</v>
      </c>
      <c r="D106" s="12" t="s">
        <v>18</v>
      </c>
      <c r="E106" s="12" t="s">
        <v>98</v>
      </c>
      <c r="F106" s="12" t="s">
        <v>20</v>
      </c>
      <c r="G106" s="11" t="s">
        <v>7</v>
      </c>
      <c r="H106" s="12" t="s">
        <v>21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1:28" ht="12.75">
      <c r="A107" s="5"/>
      <c r="B107" s="5"/>
      <c r="C107" s="5"/>
      <c r="D107" s="5"/>
      <c r="E107" s="5"/>
      <c r="F107" s="5"/>
      <c r="G107" s="5"/>
      <c r="H107" s="5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1:28" ht="12.75">
      <c r="A108" s="7">
        <v>100</v>
      </c>
      <c r="B108" s="5" t="s">
        <v>22</v>
      </c>
      <c r="C108" s="8">
        <v>41868</v>
      </c>
      <c r="D108" s="8">
        <v>42212.46</v>
      </c>
      <c r="E108" s="8">
        <v>38740</v>
      </c>
      <c r="F108" s="8">
        <v>43583</v>
      </c>
      <c r="G108" s="8">
        <f aca="true" t="shared" si="17" ref="G108:G119">F108-E108</f>
        <v>4843</v>
      </c>
      <c r="H108" s="10">
        <f aca="true" t="shared" si="18" ref="H108:H110">G108/E108</f>
        <v>0.12501290655653072</v>
      </c>
      <c r="I108" s="2" t="s">
        <v>100</v>
      </c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1:28" ht="12.75">
      <c r="A109" s="7">
        <v>200</v>
      </c>
      <c r="B109" s="5" t="s">
        <v>10</v>
      </c>
      <c r="C109" s="8">
        <v>4246.03</v>
      </c>
      <c r="D109" s="8">
        <v>9863.42</v>
      </c>
      <c r="E109" s="8">
        <v>12568.87</v>
      </c>
      <c r="F109" s="8">
        <v>14575.2</v>
      </c>
      <c r="G109" s="8">
        <f t="shared" si="17"/>
        <v>2006.33</v>
      </c>
      <c r="H109" s="10">
        <f t="shared" si="18"/>
        <v>0.1596269195241895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ht="12.75">
      <c r="A110" s="7">
        <v>300</v>
      </c>
      <c r="B110" s="5" t="s">
        <v>23</v>
      </c>
      <c r="C110" s="8">
        <v>23719.38</v>
      </c>
      <c r="D110" s="8">
        <v>22920.87</v>
      </c>
      <c r="E110" s="8">
        <v>5000</v>
      </c>
      <c r="F110" s="8">
        <v>10000</v>
      </c>
      <c r="G110" s="8">
        <f t="shared" si="17"/>
        <v>5000</v>
      </c>
      <c r="H110" s="10">
        <f t="shared" si="18"/>
        <v>1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ht="12.75">
      <c r="A111" s="7">
        <v>400</v>
      </c>
      <c r="B111" s="5" t="s">
        <v>24</v>
      </c>
      <c r="C111" s="8">
        <v>0</v>
      </c>
      <c r="D111" s="8">
        <v>0</v>
      </c>
      <c r="E111" s="8">
        <v>0</v>
      </c>
      <c r="F111" s="8">
        <v>0</v>
      </c>
      <c r="G111" s="8">
        <f t="shared" si="17"/>
        <v>0</v>
      </c>
      <c r="H111" s="10">
        <v>0</v>
      </c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ht="12.75">
      <c r="A112" s="7">
        <v>561</v>
      </c>
      <c r="B112" s="5" t="s">
        <v>25</v>
      </c>
      <c r="C112" s="8">
        <v>0</v>
      </c>
      <c r="D112" s="8">
        <v>0</v>
      </c>
      <c r="E112" s="8">
        <v>0</v>
      </c>
      <c r="F112" s="8">
        <v>0</v>
      </c>
      <c r="G112" s="8">
        <f t="shared" si="17"/>
        <v>0</v>
      </c>
      <c r="H112" s="10">
        <v>0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ht="12.75">
      <c r="A113" s="7">
        <v>593</v>
      </c>
      <c r="B113" s="5" t="s">
        <v>26</v>
      </c>
      <c r="C113" s="8">
        <v>0</v>
      </c>
      <c r="D113" s="8">
        <v>0</v>
      </c>
      <c r="E113" s="8">
        <v>0</v>
      </c>
      <c r="F113" s="8">
        <v>0</v>
      </c>
      <c r="G113" s="8">
        <f t="shared" si="17"/>
        <v>0</v>
      </c>
      <c r="H113" s="10">
        <v>0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ht="12.75">
      <c r="A114" s="7">
        <v>566</v>
      </c>
      <c r="B114" s="5" t="s">
        <v>27</v>
      </c>
      <c r="C114" s="8">
        <v>0</v>
      </c>
      <c r="D114" s="8">
        <v>0</v>
      </c>
      <c r="E114" s="8">
        <v>0</v>
      </c>
      <c r="F114" s="8">
        <v>0</v>
      </c>
      <c r="G114" s="8">
        <f t="shared" si="17"/>
        <v>0</v>
      </c>
      <c r="H114" s="10">
        <v>0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ht="12.75">
      <c r="A115" s="7">
        <v>500</v>
      </c>
      <c r="B115" s="5" t="s">
        <v>28</v>
      </c>
      <c r="C115" s="8">
        <v>0</v>
      </c>
      <c r="D115" s="8">
        <v>0</v>
      </c>
      <c r="E115" s="8">
        <v>0</v>
      </c>
      <c r="F115" s="8">
        <v>0</v>
      </c>
      <c r="G115" s="8">
        <f t="shared" si="17"/>
        <v>0</v>
      </c>
      <c r="H115" s="10">
        <v>0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1:28" ht="12.75">
      <c r="A116" s="7">
        <v>600</v>
      </c>
      <c r="B116" s="5" t="s">
        <v>29</v>
      </c>
      <c r="C116" s="8">
        <v>97.89</v>
      </c>
      <c r="D116" s="8">
        <v>143.5</v>
      </c>
      <c r="E116" s="8">
        <v>400</v>
      </c>
      <c r="F116" s="8">
        <v>400</v>
      </c>
      <c r="G116" s="8">
        <f t="shared" si="17"/>
        <v>0</v>
      </c>
      <c r="H116" s="10">
        <v>0</v>
      </c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1:28" ht="12.75">
      <c r="A117" s="7">
        <v>700</v>
      </c>
      <c r="B117" s="5" t="s">
        <v>30</v>
      </c>
      <c r="C117" s="8">
        <v>0</v>
      </c>
      <c r="D117" s="8">
        <v>0</v>
      </c>
      <c r="E117" s="8">
        <v>0</v>
      </c>
      <c r="F117" s="8">
        <v>0</v>
      </c>
      <c r="G117" s="8">
        <f t="shared" si="17"/>
        <v>0</v>
      </c>
      <c r="H117" s="10">
        <v>0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1:28" ht="12.75">
      <c r="A118" s="7">
        <v>800</v>
      </c>
      <c r="B118" s="5" t="s">
        <v>31</v>
      </c>
      <c r="C118" s="8">
        <v>0</v>
      </c>
      <c r="D118" s="8">
        <v>0</v>
      </c>
      <c r="E118" s="8">
        <v>0</v>
      </c>
      <c r="F118" s="8">
        <v>0</v>
      </c>
      <c r="G118" s="8">
        <f t="shared" si="17"/>
        <v>0</v>
      </c>
      <c r="H118" s="10">
        <v>0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1:28" ht="12.75">
      <c r="A119" s="7">
        <v>900</v>
      </c>
      <c r="B119" s="5" t="s">
        <v>32</v>
      </c>
      <c r="C119" s="8">
        <v>0</v>
      </c>
      <c r="D119" s="8">
        <v>0</v>
      </c>
      <c r="E119" s="8">
        <v>0</v>
      </c>
      <c r="F119" s="8">
        <v>0</v>
      </c>
      <c r="G119" s="8">
        <f t="shared" si="17"/>
        <v>0</v>
      </c>
      <c r="H119" s="10">
        <v>0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ht="12.75">
      <c r="A120" s="5"/>
      <c r="B120" s="5"/>
      <c r="C120" s="8">
        <f aca="true" t="shared" si="19" ref="C120:G120">SUM(C108:C119)</f>
        <v>69931.3</v>
      </c>
      <c r="D120" s="8">
        <f t="shared" si="19"/>
        <v>75140.25</v>
      </c>
      <c r="E120" s="8">
        <f t="shared" si="19"/>
        <v>56708.87</v>
      </c>
      <c r="F120" s="8">
        <f t="shared" si="19"/>
        <v>68558.2</v>
      </c>
      <c r="G120" s="8">
        <f t="shared" si="19"/>
        <v>11849.33</v>
      </c>
      <c r="H120" s="10">
        <f>G120/E120</f>
        <v>0.2089502047915961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ht="12.75">
      <c r="A123" s="2"/>
      <c r="B123" s="2" t="s">
        <v>76</v>
      </c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ht="12.75">
      <c r="A124" s="5"/>
      <c r="B124" s="11" t="s">
        <v>16</v>
      </c>
      <c r="C124" s="12" t="s">
        <v>17</v>
      </c>
      <c r="D124" s="12" t="s">
        <v>18</v>
      </c>
      <c r="E124" s="12" t="s">
        <v>98</v>
      </c>
      <c r="F124" s="12" t="s">
        <v>20</v>
      </c>
      <c r="G124" s="11" t="s">
        <v>7</v>
      </c>
      <c r="H124" s="12" t="s">
        <v>21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ht="12.75">
      <c r="A125" s="5"/>
      <c r="B125" s="5"/>
      <c r="C125" s="5"/>
      <c r="D125" s="5"/>
      <c r="E125" s="5"/>
      <c r="F125" s="5"/>
      <c r="G125" s="5"/>
      <c r="H125" s="5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1:28" ht="12.75">
      <c r="A126" s="7">
        <v>100</v>
      </c>
      <c r="B126" s="5" t="s">
        <v>22</v>
      </c>
      <c r="C126" s="8">
        <v>117018.8</v>
      </c>
      <c r="D126" s="8">
        <v>83909.83</v>
      </c>
      <c r="E126" s="8">
        <v>84403</v>
      </c>
      <c r="F126" s="8">
        <v>128171</v>
      </c>
      <c r="G126" s="8">
        <f aca="true" t="shared" si="20" ref="G126:G137">F126-E126</f>
        <v>43768</v>
      </c>
      <c r="H126" s="10">
        <f aca="true" t="shared" si="21" ref="H126:H129">G126/E126</f>
        <v>0.5185597668329325</v>
      </c>
      <c r="I126" s="2" t="s">
        <v>73</v>
      </c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ht="12.75">
      <c r="A127" s="7">
        <v>200</v>
      </c>
      <c r="B127" s="5" t="s">
        <v>10</v>
      </c>
      <c r="C127" s="8">
        <v>16186.48</v>
      </c>
      <c r="D127" s="8">
        <v>17083.93</v>
      </c>
      <c r="E127" s="8">
        <v>24230.2</v>
      </c>
      <c r="F127" s="8">
        <v>55105.46</v>
      </c>
      <c r="G127" s="8">
        <f t="shared" si="20"/>
        <v>30875.26</v>
      </c>
      <c r="H127" s="10">
        <f t="shared" si="21"/>
        <v>1.274247014056838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ht="12.75">
      <c r="A128" s="7">
        <v>300</v>
      </c>
      <c r="B128" s="5" t="s">
        <v>23</v>
      </c>
      <c r="C128" s="8">
        <v>1837</v>
      </c>
      <c r="D128" s="8">
        <v>228.38</v>
      </c>
      <c r="E128" s="8">
        <v>6000</v>
      </c>
      <c r="F128" s="8">
        <v>6000</v>
      </c>
      <c r="G128" s="8">
        <f t="shared" si="20"/>
        <v>0</v>
      </c>
      <c r="H128" s="10">
        <f t="shared" si="21"/>
        <v>0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ht="12.75">
      <c r="A129" s="7">
        <v>400</v>
      </c>
      <c r="B129" s="5" t="s">
        <v>79</v>
      </c>
      <c r="C129" s="8">
        <v>5724.44</v>
      </c>
      <c r="D129" s="8">
        <v>5592.08</v>
      </c>
      <c r="E129" s="8">
        <v>5800</v>
      </c>
      <c r="F129" s="8">
        <v>5800</v>
      </c>
      <c r="G129" s="8">
        <f t="shared" si="20"/>
        <v>0</v>
      </c>
      <c r="H129" s="10">
        <f t="shared" si="21"/>
        <v>0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ht="12.75">
      <c r="A130" s="7">
        <v>561</v>
      </c>
      <c r="B130" s="5" t="s">
        <v>25</v>
      </c>
      <c r="C130" s="8">
        <v>0</v>
      </c>
      <c r="D130" s="8">
        <v>0</v>
      </c>
      <c r="E130" s="8">
        <v>0</v>
      </c>
      <c r="F130" s="8">
        <v>0</v>
      </c>
      <c r="G130" s="8">
        <f t="shared" si="20"/>
        <v>0</v>
      </c>
      <c r="H130" s="10">
        <v>0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:28" ht="12.75">
      <c r="A131" s="7">
        <v>593</v>
      </c>
      <c r="B131" s="5" t="s">
        <v>26</v>
      </c>
      <c r="C131" s="8">
        <v>0</v>
      </c>
      <c r="D131" s="8">
        <v>0</v>
      </c>
      <c r="E131" s="8">
        <v>0</v>
      </c>
      <c r="F131" s="8">
        <v>0</v>
      </c>
      <c r="G131" s="8">
        <f t="shared" si="20"/>
        <v>0</v>
      </c>
      <c r="H131" s="10">
        <v>0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1:28" ht="12.75">
      <c r="A132" s="7">
        <v>566</v>
      </c>
      <c r="B132" s="5" t="s">
        <v>27</v>
      </c>
      <c r="C132" s="8">
        <v>0</v>
      </c>
      <c r="D132" s="8">
        <v>0</v>
      </c>
      <c r="E132" s="8">
        <v>0</v>
      </c>
      <c r="F132" s="8">
        <v>0</v>
      </c>
      <c r="G132" s="8">
        <f t="shared" si="20"/>
        <v>0</v>
      </c>
      <c r="H132" s="10">
        <v>0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1:28" ht="12.75">
      <c r="A133" s="7">
        <v>500</v>
      </c>
      <c r="B133" s="5" t="s">
        <v>28</v>
      </c>
      <c r="C133" s="8">
        <v>764.67</v>
      </c>
      <c r="D133" s="8">
        <v>326.92</v>
      </c>
      <c r="E133" s="8">
        <v>1750</v>
      </c>
      <c r="F133" s="8">
        <v>1750</v>
      </c>
      <c r="G133" s="8">
        <f t="shared" si="20"/>
        <v>0</v>
      </c>
      <c r="H133" s="10">
        <f aca="true" t="shared" si="22" ref="H133:H134">G133/E133</f>
        <v>0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:28" ht="12.75">
      <c r="A134" s="7">
        <v>600</v>
      </c>
      <c r="B134" s="5" t="s">
        <v>29</v>
      </c>
      <c r="C134" s="8">
        <v>1217.8</v>
      </c>
      <c r="D134" s="8">
        <v>749.68</v>
      </c>
      <c r="E134" s="8">
        <v>3500</v>
      </c>
      <c r="F134" s="8">
        <v>3500</v>
      </c>
      <c r="G134" s="8">
        <f t="shared" si="20"/>
        <v>0</v>
      </c>
      <c r="H134" s="10">
        <f t="shared" si="22"/>
        <v>0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1:28" ht="12.75">
      <c r="A135" s="7">
        <v>700</v>
      </c>
      <c r="B135" s="5" t="s">
        <v>30</v>
      </c>
      <c r="C135" s="8">
        <v>0</v>
      </c>
      <c r="D135" s="8">
        <v>0</v>
      </c>
      <c r="E135" s="8">
        <v>0</v>
      </c>
      <c r="F135" s="8">
        <v>0</v>
      </c>
      <c r="G135" s="8">
        <f t="shared" si="20"/>
        <v>0</v>
      </c>
      <c r="H135" s="10">
        <v>0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1:28" ht="12.75">
      <c r="A136" s="7">
        <v>800</v>
      </c>
      <c r="B136" s="5" t="s">
        <v>31</v>
      </c>
      <c r="C136" s="8">
        <v>829</v>
      </c>
      <c r="D136" s="8">
        <v>180</v>
      </c>
      <c r="E136" s="8">
        <v>900</v>
      </c>
      <c r="F136" s="8">
        <v>900</v>
      </c>
      <c r="G136" s="8">
        <f t="shared" si="20"/>
        <v>0</v>
      </c>
      <c r="H136" s="10">
        <f>G136/E136</f>
        <v>0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1:28" ht="12.75">
      <c r="A137" s="7">
        <v>900</v>
      </c>
      <c r="B137" s="5" t="s">
        <v>32</v>
      </c>
      <c r="C137" s="8">
        <v>0</v>
      </c>
      <c r="D137" s="8">
        <v>0</v>
      </c>
      <c r="E137" s="8">
        <v>0</v>
      </c>
      <c r="F137" s="8">
        <v>0</v>
      </c>
      <c r="G137" s="8">
        <f t="shared" si="20"/>
        <v>0</v>
      </c>
      <c r="H137" s="10">
        <v>0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:28" ht="12.75">
      <c r="A138" s="5"/>
      <c r="B138" s="5"/>
      <c r="C138" s="8">
        <f aca="true" t="shared" si="23" ref="C138:G138">SUM(C126:C137)</f>
        <v>143578.19</v>
      </c>
      <c r="D138" s="8">
        <f t="shared" si="23"/>
        <v>108070.82</v>
      </c>
      <c r="E138" s="8">
        <f t="shared" si="23"/>
        <v>126583.2</v>
      </c>
      <c r="F138" s="8">
        <f t="shared" si="23"/>
        <v>201226.46</v>
      </c>
      <c r="G138" s="8">
        <f t="shared" si="23"/>
        <v>74643.26</v>
      </c>
      <c r="H138" s="10">
        <f>G138/E138</f>
        <v>0.5896774611480828</v>
      </c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:28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1:28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1:28" ht="12.75">
      <c r="A141" s="2"/>
      <c r="B141" s="2" t="s">
        <v>78</v>
      </c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1:28" ht="12.75">
      <c r="A142" s="5"/>
      <c r="B142" s="11" t="s">
        <v>16</v>
      </c>
      <c r="C142" s="12" t="s">
        <v>17</v>
      </c>
      <c r="D142" s="12" t="s">
        <v>18</v>
      </c>
      <c r="E142" s="12" t="s">
        <v>98</v>
      </c>
      <c r="F142" s="12" t="s">
        <v>20</v>
      </c>
      <c r="G142" s="11" t="s">
        <v>7</v>
      </c>
      <c r="H142" s="12" t="s">
        <v>21</v>
      </c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1:28" ht="12.75">
      <c r="A143" s="5"/>
      <c r="B143" s="5"/>
      <c r="C143" s="5"/>
      <c r="D143" s="5"/>
      <c r="E143" s="5"/>
      <c r="F143" s="5"/>
      <c r="G143" s="5"/>
      <c r="H143" s="5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:28" ht="12.75">
      <c r="A144" s="7">
        <v>100</v>
      </c>
      <c r="B144" s="5" t="s">
        <v>22</v>
      </c>
      <c r="C144" s="8">
        <v>0</v>
      </c>
      <c r="D144" s="8">
        <v>0</v>
      </c>
      <c r="E144" s="8">
        <v>0</v>
      </c>
      <c r="F144" s="8">
        <v>0</v>
      </c>
      <c r="G144" s="8">
        <f aca="true" t="shared" si="24" ref="G144:G153">F144-E144</f>
        <v>0</v>
      </c>
      <c r="H144" s="10">
        <v>0</v>
      </c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:28" ht="12.75">
      <c r="A145" s="7">
        <v>200</v>
      </c>
      <c r="B145" s="5" t="s">
        <v>10</v>
      </c>
      <c r="C145" s="8">
        <v>0</v>
      </c>
      <c r="D145" s="8">
        <v>0</v>
      </c>
      <c r="E145" s="8">
        <v>0</v>
      </c>
      <c r="F145" s="8">
        <v>0</v>
      </c>
      <c r="G145" s="8">
        <f t="shared" si="24"/>
        <v>0</v>
      </c>
      <c r="H145" s="10">
        <v>0</v>
      </c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:28" ht="12.75">
      <c r="A146" s="7">
        <v>300</v>
      </c>
      <c r="B146" s="5" t="s">
        <v>23</v>
      </c>
      <c r="C146" s="8">
        <v>0</v>
      </c>
      <c r="D146" s="8">
        <v>0</v>
      </c>
      <c r="E146" s="8">
        <v>0</v>
      </c>
      <c r="F146" s="8">
        <v>0</v>
      </c>
      <c r="G146" s="8">
        <f t="shared" si="24"/>
        <v>0</v>
      </c>
      <c r="H146" s="10">
        <v>0</v>
      </c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 ht="12.75">
      <c r="A147" s="7">
        <v>400</v>
      </c>
      <c r="B147" s="5" t="s">
        <v>79</v>
      </c>
      <c r="C147" s="8">
        <v>0</v>
      </c>
      <c r="D147" s="8">
        <v>0</v>
      </c>
      <c r="E147" s="8">
        <v>0</v>
      </c>
      <c r="F147" s="8">
        <v>0</v>
      </c>
      <c r="G147" s="8">
        <f t="shared" si="24"/>
        <v>0</v>
      </c>
      <c r="H147" s="10">
        <v>0</v>
      </c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:28" ht="12.75">
      <c r="A148" s="7">
        <v>561</v>
      </c>
      <c r="B148" s="5" t="s">
        <v>25</v>
      </c>
      <c r="C148" s="8">
        <v>0</v>
      </c>
      <c r="D148" s="8">
        <v>0</v>
      </c>
      <c r="E148" s="8">
        <v>0</v>
      </c>
      <c r="F148" s="8">
        <v>0</v>
      </c>
      <c r="G148" s="8">
        <f t="shared" si="24"/>
        <v>0</v>
      </c>
      <c r="H148" s="10">
        <v>0</v>
      </c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:28" ht="12.75">
      <c r="A149" s="7">
        <v>593</v>
      </c>
      <c r="B149" s="5" t="s">
        <v>26</v>
      </c>
      <c r="C149" s="8">
        <v>0</v>
      </c>
      <c r="D149" s="8">
        <v>0</v>
      </c>
      <c r="E149" s="8">
        <v>0</v>
      </c>
      <c r="F149" s="8">
        <v>0</v>
      </c>
      <c r="G149" s="8">
        <f t="shared" si="24"/>
        <v>0</v>
      </c>
      <c r="H149" s="10">
        <v>0</v>
      </c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 ht="12.75">
      <c r="A150" s="7">
        <v>566</v>
      </c>
      <c r="B150" s="5" t="s">
        <v>27</v>
      </c>
      <c r="C150" s="8">
        <v>0</v>
      </c>
      <c r="D150" s="8">
        <v>0</v>
      </c>
      <c r="E150" s="8">
        <v>0</v>
      </c>
      <c r="F150" s="8">
        <v>0</v>
      </c>
      <c r="G150" s="8">
        <f t="shared" si="24"/>
        <v>0</v>
      </c>
      <c r="H150" s="10">
        <v>0</v>
      </c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 ht="12.75">
      <c r="A151" s="7">
        <v>500</v>
      </c>
      <c r="B151" s="5" t="s">
        <v>28</v>
      </c>
      <c r="C151" s="8">
        <v>0</v>
      </c>
      <c r="D151" s="8">
        <v>0</v>
      </c>
      <c r="E151" s="8">
        <v>0</v>
      </c>
      <c r="F151" s="8">
        <v>0</v>
      </c>
      <c r="G151" s="8">
        <f t="shared" si="24"/>
        <v>0</v>
      </c>
      <c r="H151" s="10">
        <v>0</v>
      </c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 ht="12.75">
      <c r="A152" s="7">
        <v>600</v>
      </c>
      <c r="B152" s="5" t="s">
        <v>29</v>
      </c>
      <c r="C152" s="8">
        <v>0</v>
      </c>
      <c r="D152" s="8">
        <v>0</v>
      </c>
      <c r="E152" s="8">
        <v>0</v>
      </c>
      <c r="F152" s="8">
        <v>0</v>
      </c>
      <c r="G152" s="8">
        <f t="shared" si="24"/>
        <v>0</v>
      </c>
      <c r="H152" s="10">
        <v>0</v>
      </c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:28" ht="12.75">
      <c r="A153" s="7">
        <v>700</v>
      </c>
      <c r="B153" s="5" t="s">
        <v>30</v>
      </c>
      <c r="C153" s="8">
        <v>0</v>
      </c>
      <c r="D153" s="8">
        <v>0</v>
      </c>
      <c r="E153" s="8">
        <v>0</v>
      </c>
      <c r="F153" s="8">
        <v>0</v>
      </c>
      <c r="G153" s="8">
        <f t="shared" si="24"/>
        <v>0</v>
      </c>
      <c r="H153" s="10">
        <v>0</v>
      </c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:28" ht="12.75">
      <c r="A154" s="7">
        <v>800</v>
      </c>
      <c r="B154" s="5" t="s">
        <v>31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10">
        <v>0</v>
      </c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:28" ht="12.75">
      <c r="A155" s="7">
        <v>900</v>
      </c>
      <c r="B155" s="5" t="s">
        <v>32</v>
      </c>
      <c r="C155" s="8">
        <v>0</v>
      </c>
      <c r="D155" s="8">
        <v>0</v>
      </c>
      <c r="E155" s="8">
        <v>0</v>
      </c>
      <c r="F155" s="8">
        <v>0</v>
      </c>
      <c r="G155" s="8">
        <f>F155-E155</f>
        <v>0</v>
      </c>
      <c r="H155" s="10">
        <v>0</v>
      </c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:28" ht="12.75">
      <c r="A156" s="5"/>
      <c r="B156" s="5"/>
      <c r="C156" s="8">
        <f>SUM(C144:C155)</f>
        <v>0</v>
      </c>
      <c r="D156" s="8">
        <v>0</v>
      </c>
      <c r="E156" s="8">
        <f aca="true" t="shared" si="25" ref="E156:G156">SUM(E144:E155)</f>
        <v>0</v>
      </c>
      <c r="F156" s="8">
        <f t="shared" si="25"/>
        <v>0</v>
      </c>
      <c r="G156" s="8">
        <f t="shared" si="25"/>
        <v>0</v>
      </c>
      <c r="H156" s="10">
        <v>0</v>
      </c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:28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:28" ht="12.75">
      <c r="A159" s="2"/>
      <c r="B159" s="2" t="s">
        <v>80</v>
      </c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 ht="12.75">
      <c r="A160" s="5"/>
      <c r="B160" s="11" t="s">
        <v>16</v>
      </c>
      <c r="C160" s="12" t="s">
        <v>17</v>
      </c>
      <c r="D160" s="12" t="s">
        <v>18</v>
      </c>
      <c r="E160" s="12" t="s">
        <v>98</v>
      </c>
      <c r="F160" s="12" t="s">
        <v>20</v>
      </c>
      <c r="G160" s="11" t="s">
        <v>7</v>
      </c>
      <c r="H160" s="12" t="s">
        <v>21</v>
      </c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:28" ht="12.75">
      <c r="A161" s="5"/>
      <c r="B161" s="5"/>
      <c r="C161" s="5"/>
      <c r="D161" s="5"/>
      <c r="E161" s="5"/>
      <c r="F161" s="5"/>
      <c r="G161" s="5"/>
      <c r="H161" s="5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:28" ht="12.75">
      <c r="A162" s="7">
        <v>100</v>
      </c>
      <c r="B162" s="5" t="s">
        <v>22</v>
      </c>
      <c r="C162" s="8">
        <v>77035.41</v>
      </c>
      <c r="D162" s="8">
        <v>64449.5</v>
      </c>
      <c r="E162" s="8">
        <v>73677.88</v>
      </c>
      <c r="F162" s="8">
        <v>75462</v>
      </c>
      <c r="G162" s="8">
        <f aca="true" t="shared" si="26" ref="G162:G173">F162-E162</f>
        <v>1784.1199999999953</v>
      </c>
      <c r="H162" s="10">
        <f aca="true" t="shared" si="27" ref="H162:H163">G162/E162</f>
        <v>0.024215137569104803</v>
      </c>
      <c r="I162" s="2" t="s">
        <v>101</v>
      </c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:28" ht="12.75">
      <c r="A163" s="7">
        <v>200</v>
      </c>
      <c r="B163" s="5" t="s">
        <v>10</v>
      </c>
      <c r="C163" s="8">
        <v>27386.55</v>
      </c>
      <c r="D163" s="8">
        <v>29218.68</v>
      </c>
      <c r="E163" s="8">
        <v>36067.79</v>
      </c>
      <c r="F163" s="8">
        <v>28475</v>
      </c>
      <c r="G163" s="8">
        <f t="shared" si="26"/>
        <v>-7592.790000000001</v>
      </c>
      <c r="H163" s="10">
        <f t="shared" si="27"/>
        <v>-0.210514422979617</v>
      </c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:28" ht="12.75">
      <c r="A164" s="7">
        <v>300</v>
      </c>
      <c r="B164" s="5" t="s">
        <v>23</v>
      </c>
      <c r="C164" s="8">
        <v>1993.41</v>
      </c>
      <c r="D164" s="8">
        <v>649.49</v>
      </c>
      <c r="E164" s="8">
        <v>0</v>
      </c>
      <c r="F164" s="8">
        <v>1000</v>
      </c>
      <c r="G164" s="8">
        <f t="shared" si="26"/>
        <v>1000</v>
      </c>
      <c r="H164" s="10">
        <v>0</v>
      </c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:28" ht="12.75">
      <c r="A165" s="7">
        <v>400</v>
      </c>
      <c r="B165" s="5" t="s">
        <v>24</v>
      </c>
      <c r="C165" s="8">
        <v>19489.37</v>
      </c>
      <c r="D165" s="8">
        <v>47622.89</v>
      </c>
      <c r="E165" s="8">
        <f>27705+5970</f>
        <v>33675</v>
      </c>
      <c r="F165" s="8">
        <v>35350</v>
      </c>
      <c r="G165" s="8">
        <f t="shared" si="26"/>
        <v>1675</v>
      </c>
      <c r="H165" s="10">
        <f>G165/E165</f>
        <v>0.04974016332590943</v>
      </c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:28" ht="12.75">
      <c r="A166" s="7">
        <v>561</v>
      </c>
      <c r="B166" s="5" t="s">
        <v>25</v>
      </c>
      <c r="C166" s="8">
        <v>0</v>
      </c>
      <c r="D166" s="8">
        <v>0</v>
      </c>
      <c r="E166" s="8">
        <v>0</v>
      </c>
      <c r="F166" s="8">
        <v>0</v>
      </c>
      <c r="G166" s="8">
        <f t="shared" si="26"/>
        <v>0</v>
      </c>
      <c r="H166" s="10">
        <v>0</v>
      </c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1:28" ht="12.75">
      <c r="A167" s="7">
        <v>593</v>
      </c>
      <c r="B167" s="5" t="s">
        <v>26</v>
      </c>
      <c r="C167" s="8">
        <v>0</v>
      </c>
      <c r="D167" s="8">
        <v>0</v>
      </c>
      <c r="E167" s="8">
        <v>0</v>
      </c>
      <c r="F167" s="8">
        <v>0</v>
      </c>
      <c r="G167" s="8">
        <f t="shared" si="26"/>
        <v>0</v>
      </c>
      <c r="H167" s="10">
        <v>0</v>
      </c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1:28" ht="12.75">
      <c r="A168" s="7">
        <v>566</v>
      </c>
      <c r="B168" s="5" t="s">
        <v>27</v>
      </c>
      <c r="C168" s="8">
        <v>0</v>
      </c>
      <c r="D168" s="8">
        <v>0</v>
      </c>
      <c r="E168" s="8">
        <v>0</v>
      </c>
      <c r="F168" s="8">
        <v>0</v>
      </c>
      <c r="G168" s="8">
        <f t="shared" si="26"/>
        <v>0</v>
      </c>
      <c r="H168" s="10">
        <v>0</v>
      </c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1:28" ht="12.75">
      <c r="A169" s="7">
        <v>500</v>
      </c>
      <c r="B169" s="5" t="s">
        <v>28</v>
      </c>
      <c r="C169" s="8">
        <v>9762.2</v>
      </c>
      <c r="D169" s="8">
        <v>9905.97</v>
      </c>
      <c r="E169" s="8">
        <v>12200</v>
      </c>
      <c r="F169" s="8">
        <f>12200</f>
        <v>12200</v>
      </c>
      <c r="G169" s="8">
        <f t="shared" si="26"/>
        <v>0</v>
      </c>
      <c r="H169" s="10">
        <f aca="true" t="shared" si="28" ref="H169:H170">G169/E169</f>
        <v>0</v>
      </c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:28" ht="12.75">
      <c r="A170" s="7">
        <v>600</v>
      </c>
      <c r="B170" s="5" t="s">
        <v>29</v>
      </c>
      <c r="C170" s="8">
        <v>48898.41</v>
      </c>
      <c r="D170" s="8">
        <v>42962.51</v>
      </c>
      <c r="E170" s="8">
        <v>54712</v>
      </c>
      <c r="F170" s="8">
        <v>54712</v>
      </c>
      <c r="G170" s="8">
        <f t="shared" si="26"/>
        <v>0</v>
      </c>
      <c r="H170" s="10">
        <f t="shared" si="28"/>
        <v>0</v>
      </c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1:28" ht="12.75">
      <c r="A171" s="7">
        <v>700</v>
      </c>
      <c r="B171" s="5" t="s">
        <v>30</v>
      </c>
      <c r="C171" s="8">
        <v>0</v>
      </c>
      <c r="D171" s="8">
        <v>0</v>
      </c>
      <c r="E171" s="8">
        <v>0</v>
      </c>
      <c r="F171" s="8">
        <v>0</v>
      </c>
      <c r="G171" s="8">
        <f t="shared" si="26"/>
        <v>0</v>
      </c>
      <c r="H171" s="10">
        <v>0</v>
      </c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:28" ht="12.75">
      <c r="A172" s="7">
        <v>800</v>
      </c>
      <c r="B172" s="5" t="s">
        <v>31</v>
      </c>
      <c r="C172" s="8">
        <v>0</v>
      </c>
      <c r="D172" s="8">
        <v>0</v>
      </c>
      <c r="E172" s="8">
        <v>0</v>
      </c>
      <c r="F172" s="8">
        <v>0</v>
      </c>
      <c r="G172" s="8">
        <f t="shared" si="26"/>
        <v>0</v>
      </c>
      <c r="H172" s="10">
        <v>0</v>
      </c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:28" ht="12.75">
      <c r="A173" s="7">
        <v>900</v>
      </c>
      <c r="B173" s="5" t="s">
        <v>32</v>
      </c>
      <c r="C173" s="8">
        <v>0</v>
      </c>
      <c r="D173" s="8">
        <v>0</v>
      </c>
      <c r="E173" s="8">
        <v>0</v>
      </c>
      <c r="F173" s="8">
        <v>0</v>
      </c>
      <c r="G173" s="8">
        <f t="shared" si="26"/>
        <v>0</v>
      </c>
      <c r="H173" s="10">
        <v>0</v>
      </c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:28" ht="12.75">
      <c r="A174" s="5"/>
      <c r="B174" s="5"/>
      <c r="C174" s="8">
        <f aca="true" t="shared" si="29" ref="C174:G174">SUM(C162:C173)</f>
        <v>184565.35</v>
      </c>
      <c r="D174" s="8">
        <f t="shared" si="29"/>
        <v>194809.04</v>
      </c>
      <c r="E174" s="8">
        <f t="shared" si="29"/>
        <v>210332.67</v>
      </c>
      <c r="F174" s="8">
        <f t="shared" si="29"/>
        <v>207199</v>
      </c>
      <c r="G174" s="8">
        <f t="shared" si="29"/>
        <v>-3133.6700000000055</v>
      </c>
      <c r="H174" s="10">
        <f>G174/E174</f>
        <v>-0.014898636526603334</v>
      </c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:28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1:28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1:28" ht="12.75">
      <c r="A177" s="2"/>
      <c r="B177" s="2" t="s">
        <v>82</v>
      </c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1:28" ht="12.75">
      <c r="A178" s="5"/>
      <c r="B178" s="11" t="s">
        <v>16</v>
      </c>
      <c r="C178" s="12" t="s">
        <v>17</v>
      </c>
      <c r="D178" s="12" t="s">
        <v>18</v>
      </c>
      <c r="E178" s="12" t="s">
        <v>98</v>
      </c>
      <c r="F178" s="12" t="s">
        <v>20</v>
      </c>
      <c r="G178" s="11" t="s">
        <v>7</v>
      </c>
      <c r="H178" s="12" t="s">
        <v>21</v>
      </c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1:28" ht="12.75">
      <c r="A179" s="5"/>
      <c r="B179" s="5"/>
      <c r="C179" s="5"/>
      <c r="D179" s="5"/>
      <c r="E179" s="5"/>
      <c r="F179" s="5"/>
      <c r="G179" s="5"/>
      <c r="H179" s="5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1:28" ht="12.75">
      <c r="A180" s="7">
        <v>100</v>
      </c>
      <c r="B180" s="5" t="s">
        <v>22</v>
      </c>
      <c r="C180" s="8">
        <v>126881.85</v>
      </c>
      <c r="D180" s="8">
        <v>122472.98</v>
      </c>
      <c r="E180" s="8">
        <v>142585.5</v>
      </c>
      <c r="F180" s="8">
        <v>194857</v>
      </c>
      <c r="G180" s="8">
        <f aca="true" t="shared" si="30" ref="G180:G191">F180-E180</f>
        <v>52271.5</v>
      </c>
      <c r="H180" s="10">
        <f aca="true" t="shared" si="31" ref="H180:H181">G180/E180</f>
        <v>0.36659758530846404</v>
      </c>
      <c r="I180" s="2" t="s">
        <v>102</v>
      </c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1:28" ht="12.75">
      <c r="A181" s="7">
        <v>200</v>
      </c>
      <c r="B181" s="5" t="s">
        <v>10</v>
      </c>
      <c r="C181" s="8">
        <v>28683.68</v>
      </c>
      <c r="D181" s="8">
        <v>23696.47</v>
      </c>
      <c r="E181" s="8">
        <v>31645.64</v>
      </c>
      <c r="F181" s="8">
        <v>59662.2</v>
      </c>
      <c r="G181" s="8">
        <f t="shared" si="30"/>
        <v>28016.559999999998</v>
      </c>
      <c r="H181" s="10">
        <f t="shared" si="31"/>
        <v>0.8853213270453686</v>
      </c>
      <c r="I181" s="2" t="s">
        <v>3</v>
      </c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1:28" ht="12.75">
      <c r="A182" s="7">
        <v>300</v>
      </c>
      <c r="B182" s="5" t="s">
        <v>23</v>
      </c>
      <c r="C182" s="8">
        <v>0</v>
      </c>
      <c r="D182" s="8">
        <v>0</v>
      </c>
      <c r="E182" s="8">
        <v>0</v>
      </c>
      <c r="F182" s="8">
        <v>0</v>
      </c>
      <c r="G182" s="8">
        <f t="shared" si="30"/>
        <v>0</v>
      </c>
      <c r="H182" s="10">
        <v>0</v>
      </c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1:28" ht="12.75">
      <c r="A183" s="7">
        <v>400</v>
      </c>
      <c r="B183" s="5" t="s">
        <v>24</v>
      </c>
      <c r="C183" s="8">
        <v>0</v>
      </c>
      <c r="D183" s="8">
        <v>0</v>
      </c>
      <c r="E183" s="8">
        <v>0</v>
      </c>
      <c r="F183" s="8">
        <v>0</v>
      </c>
      <c r="G183" s="8">
        <f t="shared" si="30"/>
        <v>0</v>
      </c>
      <c r="H183" s="10">
        <v>0</v>
      </c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1:28" ht="12.75">
      <c r="A184" s="7">
        <v>561</v>
      </c>
      <c r="B184" s="5" t="s">
        <v>25</v>
      </c>
      <c r="C184" s="8">
        <v>0</v>
      </c>
      <c r="D184" s="8">
        <v>0</v>
      </c>
      <c r="E184" s="8">
        <v>0</v>
      </c>
      <c r="F184" s="8">
        <v>0</v>
      </c>
      <c r="G184" s="8">
        <f t="shared" si="30"/>
        <v>0</v>
      </c>
      <c r="H184" s="10">
        <v>0</v>
      </c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 ht="12.75">
      <c r="A185" s="7">
        <v>593</v>
      </c>
      <c r="B185" s="5" t="s">
        <v>26</v>
      </c>
      <c r="C185" s="8">
        <v>0</v>
      </c>
      <c r="D185" s="8">
        <v>0</v>
      </c>
      <c r="E185" s="8">
        <v>0</v>
      </c>
      <c r="F185" s="8">
        <v>0</v>
      </c>
      <c r="G185" s="8">
        <f t="shared" si="30"/>
        <v>0</v>
      </c>
      <c r="H185" s="10">
        <v>0</v>
      </c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:28" ht="12.75">
      <c r="A186" s="7">
        <v>566</v>
      </c>
      <c r="B186" s="5" t="s">
        <v>27</v>
      </c>
      <c r="C186" s="8">
        <v>0</v>
      </c>
      <c r="D186" s="8">
        <v>0</v>
      </c>
      <c r="E186" s="8">
        <v>0</v>
      </c>
      <c r="F186" s="8">
        <v>0</v>
      </c>
      <c r="G186" s="8">
        <f t="shared" si="30"/>
        <v>0</v>
      </c>
      <c r="H186" s="10">
        <v>0</v>
      </c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ht="12.75">
      <c r="A187" s="7">
        <v>500</v>
      </c>
      <c r="B187" s="5" t="s">
        <v>28</v>
      </c>
      <c r="C187" s="8">
        <v>0</v>
      </c>
      <c r="D187" s="8">
        <v>0</v>
      </c>
      <c r="E187" s="8">
        <v>0</v>
      </c>
      <c r="F187" s="8">
        <v>0</v>
      </c>
      <c r="G187" s="8">
        <f t="shared" si="30"/>
        <v>0</v>
      </c>
      <c r="H187" s="10">
        <v>0</v>
      </c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ht="12.75">
      <c r="A188" s="7">
        <v>600</v>
      </c>
      <c r="B188" s="5" t="s">
        <v>29</v>
      </c>
      <c r="C188" s="8">
        <v>0</v>
      </c>
      <c r="D188" s="8">
        <v>0</v>
      </c>
      <c r="E188" s="8">
        <v>0</v>
      </c>
      <c r="F188" s="8">
        <v>0</v>
      </c>
      <c r="G188" s="8">
        <f t="shared" si="30"/>
        <v>0</v>
      </c>
      <c r="H188" s="10">
        <v>0</v>
      </c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ht="12.75">
      <c r="A189" s="7">
        <v>700</v>
      </c>
      <c r="B189" s="5" t="s">
        <v>30</v>
      </c>
      <c r="C189" s="8">
        <v>0</v>
      </c>
      <c r="D189" s="8">
        <v>0</v>
      </c>
      <c r="E189" s="8">
        <v>0</v>
      </c>
      <c r="F189" s="8">
        <v>0</v>
      </c>
      <c r="G189" s="8">
        <f t="shared" si="30"/>
        <v>0</v>
      </c>
      <c r="H189" s="10">
        <v>0</v>
      </c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 ht="12.75">
      <c r="A190" s="7">
        <v>800</v>
      </c>
      <c r="B190" s="5" t="s">
        <v>31</v>
      </c>
      <c r="C190" s="8">
        <v>0</v>
      </c>
      <c r="D190" s="8">
        <v>0</v>
      </c>
      <c r="E190" s="8">
        <v>0</v>
      </c>
      <c r="F190" s="8">
        <v>0</v>
      </c>
      <c r="G190" s="8">
        <f t="shared" si="30"/>
        <v>0</v>
      </c>
      <c r="H190" s="10">
        <v>0</v>
      </c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ht="12.75">
      <c r="A191" s="7">
        <v>900</v>
      </c>
      <c r="B191" s="5" t="s">
        <v>32</v>
      </c>
      <c r="C191" s="8">
        <v>0</v>
      </c>
      <c r="D191" s="8">
        <v>0</v>
      </c>
      <c r="E191" s="8">
        <v>0</v>
      </c>
      <c r="F191" s="8">
        <v>0</v>
      </c>
      <c r="G191" s="8">
        <f t="shared" si="30"/>
        <v>0</v>
      </c>
      <c r="H191" s="10">
        <v>0</v>
      </c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ht="12.75">
      <c r="A192" s="5"/>
      <c r="B192" s="5"/>
      <c r="C192" s="8">
        <f aca="true" t="shared" si="32" ref="C192:G192">SUM(C180:C191)</f>
        <v>155565.53</v>
      </c>
      <c r="D192" s="8">
        <f t="shared" si="32"/>
        <v>146169.45</v>
      </c>
      <c r="E192" s="8">
        <f t="shared" si="32"/>
        <v>174231.14</v>
      </c>
      <c r="F192" s="8">
        <f t="shared" si="32"/>
        <v>254519.2</v>
      </c>
      <c r="G192" s="8">
        <f t="shared" si="32"/>
        <v>80288.06</v>
      </c>
      <c r="H192" s="10">
        <f>G192/E192</f>
        <v>0.4608134917787945</v>
      </c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 ht="12.75">
      <c r="A195" s="2"/>
      <c r="B195" s="2" t="s">
        <v>84</v>
      </c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 ht="12.75">
      <c r="A196" s="5"/>
      <c r="B196" s="11" t="s">
        <v>16</v>
      </c>
      <c r="C196" s="12" t="s">
        <v>17</v>
      </c>
      <c r="D196" s="12" t="s">
        <v>18</v>
      </c>
      <c r="E196" s="12" t="s">
        <v>98</v>
      </c>
      <c r="F196" s="12" t="s">
        <v>20</v>
      </c>
      <c r="G196" s="11" t="s">
        <v>7</v>
      </c>
      <c r="H196" s="12" t="s">
        <v>21</v>
      </c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 ht="12.75">
      <c r="A197" s="5"/>
      <c r="B197" s="5"/>
      <c r="C197" s="5"/>
      <c r="D197" s="5"/>
      <c r="E197" s="5"/>
      <c r="F197" s="5"/>
      <c r="G197" s="5"/>
      <c r="H197" s="5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1:28" ht="12.75">
      <c r="A198" s="7">
        <v>100</v>
      </c>
      <c r="B198" s="5" t="s">
        <v>22</v>
      </c>
      <c r="C198" s="8">
        <v>0</v>
      </c>
      <c r="D198" s="8">
        <v>0</v>
      </c>
      <c r="E198" s="8">
        <v>0</v>
      </c>
      <c r="F198" s="8">
        <v>0</v>
      </c>
      <c r="G198" s="8">
        <f aca="true" t="shared" si="33" ref="G198:G209">F198-E198</f>
        <v>0</v>
      </c>
      <c r="H198" s="10">
        <v>0</v>
      </c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 ht="12.75">
      <c r="A199" s="7">
        <v>200</v>
      </c>
      <c r="B199" s="5" t="s">
        <v>10</v>
      </c>
      <c r="C199" s="8">
        <v>0</v>
      </c>
      <c r="D199" s="8">
        <v>0</v>
      </c>
      <c r="E199" s="8">
        <v>0</v>
      </c>
      <c r="F199" s="8">
        <v>0</v>
      </c>
      <c r="G199" s="8">
        <f t="shared" si="33"/>
        <v>0</v>
      </c>
      <c r="H199" s="10">
        <v>0</v>
      </c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 ht="12.75">
      <c r="A200" s="7">
        <v>300</v>
      </c>
      <c r="B200" s="5" t="s">
        <v>23</v>
      </c>
      <c r="C200" s="8">
        <v>0</v>
      </c>
      <c r="D200" s="8">
        <v>0</v>
      </c>
      <c r="E200" s="8">
        <v>0</v>
      </c>
      <c r="F200" s="8">
        <v>0</v>
      </c>
      <c r="G200" s="8">
        <f t="shared" si="33"/>
        <v>0</v>
      </c>
      <c r="H200" s="10">
        <v>0</v>
      </c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 ht="12.75">
      <c r="A201" s="7">
        <v>400</v>
      </c>
      <c r="B201" s="5" t="s">
        <v>24</v>
      </c>
      <c r="C201" s="8">
        <v>0</v>
      </c>
      <c r="D201" s="8">
        <v>0</v>
      </c>
      <c r="E201" s="8">
        <v>0</v>
      </c>
      <c r="F201" s="8">
        <v>0</v>
      </c>
      <c r="G201" s="8">
        <f t="shared" si="33"/>
        <v>0</v>
      </c>
      <c r="H201" s="10">
        <v>0</v>
      </c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 ht="12.75">
      <c r="A202" s="7">
        <v>561</v>
      </c>
      <c r="B202" s="5" t="s">
        <v>25</v>
      </c>
      <c r="C202" s="8">
        <v>0</v>
      </c>
      <c r="D202" s="8">
        <v>0</v>
      </c>
      <c r="E202" s="8">
        <v>0</v>
      </c>
      <c r="F202" s="8">
        <v>0</v>
      </c>
      <c r="G202" s="8">
        <f t="shared" si="33"/>
        <v>0</v>
      </c>
      <c r="H202" s="10">
        <v>0</v>
      </c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 ht="12.75">
      <c r="A203" s="7">
        <v>593</v>
      </c>
      <c r="B203" s="5" t="s">
        <v>26</v>
      </c>
      <c r="C203" s="8">
        <v>0</v>
      </c>
      <c r="D203" s="8">
        <v>0</v>
      </c>
      <c r="E203" s="8">
        <v>0</v>
      </c>
      <c r="F203" s="8">
        <v>0</v>
      </c>
      <c r="G203" s="8">
        <f t="shared" si="33"/>
        <v>0</v>
      </c>
      <c r="H203" s="10">
        <v>0</v>
      </c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ht="12.75">
      <c r="A204" s="7">
        <v>566</v>
      </c>
      <c r="B204" s="5" t="s">
        <v>27</v>
      </c>
      <c r="C204" s="8">
        <v>0</v>
      </c>
      <c r="D204" s="8">
        <v>0</v>
      </c>
      <c r="E204" s="8">
        <v>0</v>
      </c>
      <c r="F204" s="8">
        <v>0</v>
      </c>
      <c r="G204" s="8">
        <f t="shared" si="33"/>
        <v>0</v>
      </c>
      <c r="H204" s="10">
        <v>0</v>
      </c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 ht="12.75">
      <c r="A205" s="7">
        <v>500</v>
      </c>
      <c r="B205" s="5" t="s">
        <v>28</v>
      </c>
      <c r="C205" s="8">
        <v>0</v>
      </c>
      <c r="D205" s="8">
        <v>0</v>
      </c>
      <c r="E205" s="8">
        <v>0</v>
      </c>
      <c r="F205" s="8">
        <v>0</v>
      </c>
      <c r="G205" s="8">
        <f t="shared" si="33"/>
        <v>0</v>
      </c>
      <c r="H205" s="10">
        <v>0</v>
      </c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 ht="12.75">
      <c r="A206" s="7">
        <v>600</v>
      </c>
      <c r="B206" s="5" t="s">
        <v>29</v>
      </c>
      <c r="C206" s="8">
        <v>253</v>
      </c>
      <c r="D206" s="8">
        <v>0</v>
      </c>
      <c r="E206" s="8">
        <v>0</v>
      </c>
      <c r="F206" s="8">
        <v>0</v>
      </c>
      <c r="G206" s="8">
        <f t="shared" si="33"/>
        <v>0</v>
      </c>
      <c r="H206" s="10">
        <v>0</v>
      </c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 ht="12.75">
      <c r="A207" s="7">
        <v>700</v>
      </c>
      <c r="B207" s="5" t="s">
        <v>30</v>
      </c>
      <c r="C207" s="8">
        <v>0</v>
      </c>
      <c r="D207" s="8">
        <v>0</v>
      </c>
      <c r="E207" s="8">
        <v>0</v>
      </c>
      <c r="F207" s="8">
        <v>0</v>
      </c>
      <c r="G207" s="8">
        <f t="shared" si="33"/>
        <v>0</v>
      </c>
      <c r="H207" s="10">
        <v>0</v>
      </c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 ht="12.75">
      <c r="A208" s="7">
        <v>800</v>
      </c>
      <c r="B208" s="5" t="s">
        <v>31</v>
      </c>
      <c r="C208" s="8">
        <v>0</v>
      </c>
      <c r="D208" s="8">
        <v>0</v>
      </c>
      <c r="E208" s="8">
        <v>0</v>
      </c>
      <c r="F208" s="8">
        <v>0</v>
      </c>
      <c r="G208" s="8">
        <f t="shared" si="33"/>
        <v>0</v>
      </c>
      <c r="H208" s="10">
        <v>0</v>
      </c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 ht="12.75">
      <c r="A209" s="7">
        <v>900</v>
      </c>
      <c r="B209" s="5" t="s">
        <v>32</v>
      </c>
      <c r="C209" s="8">
        <v>0</v>
      </c>
      <c r="D209" s="8">
        <v>0</v>
      </c>
      <c r="E209" s="8">
        <v>0</v>
      </c>
      <c r="F209" s="8">
        <v>0</v>
      </c>
      <c r="G209" s="8">
        <f t="shared" si="33"/>
        <v>0</v>
      </c>
      <c r="H209" s="10">
        <v>0</v>
      </c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 ht="12.75">
      <c r="A210" s="5"/>
      <c r="B210" s="5"/>
      <c r="C210" s="8">
        <f>SUM(C198:C209)</f>
        <v>253</v>
      </c>
      <c r="D210" s="8">
        <v>0</v>
      </c>
      <c r="E210" s="8">
        <f aca="true" t="shared" si="34" ref="E210:G210">SUM(E198:E209)</f>
        <v>0</v>
      </c>
      <c r="F210" s="8">
        <f t="shared" si="34"/>
        <v>0</v>
      </c>
      <c r="G210" s="8">
        <f t="shared" si="34"/>
        <v>0</v>
      </c>
      <c r="H210" s="10">
        <v>0</v>
      </c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1:28" ht="12.75">
      <c r="A213" s="2"/>
      <c r="B213" s="2" t="s">
        <v>85</v>
      </c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1:28" ht="12.75">
      <c r="A214" s="5"/>
      <c r="B214" s="11" t="s">
        <v>16</v>
      </c>
      <c r="C214" s="12" t="s">
        <v>17</v>
      </c>
      <c r="D214" s="12" t="s">
        <v>18</v>
      </c>
      <c r="E214" s="12" t="s">
        <v>98</v>
      </c>
      <c r="F214" s="12" t="s">
        <v>20</v>
      </c>
      <c r="G214" s="11" t="s">
        <v>7</v>
      </c>
      <c r="H214" s="12" t="s">
        <v>21</v>
      </c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1:28" ht="12.75">
      <c r="A215" s="5"/>
      <c r="B215" s="5"/>
      <c r="C215" s="5"/>
      <c r="D215" s="5"/>
      <c r="E215" s="5"/>
      <c r="F215" s="5"/>
      <c r="G215" s="5"/>
      <c r="H215" s="5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1:28" ht="12.75">
      <c r="A216" s="7">
        <v>100</v>
      </c>
      <c r="B216" s="5" t="s">
        <v>22</v>
      </c>
      <c r="C216" s="8">
        <v>0</v>
      </c>
      <c r="D216" s="8">
        <v>0</v>
      </c>
      <c r="E216" s="8">
        <v>0</v>
      </c>
      <c r="F216" s="8">
        <v>0</v>
      </c>
      <c r="G216" s="8">
        <f aca="true" t="shared" si="35" ref="G216:G227">F216-E216</f>
        <v>0</v>
      </c>
      <c r="H216" s="10">
        <v>0</v>
      </c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1:28" ht="12.75">
      <c r="A217" s="7">
        <v>200</v>
      </c>
      <c r="B217" s="5" t="s">
        <v>10</v>
      </c>
      <c r="C217" s="8">
        <v>1800</v>
      </c>
      <c r="D217" s="8">
        <v>0</v>
      </c>
      <c r="E217" s="8">
        <v>0</v>
      </c>
      <c r="F217" s="8">
        <v>0</v>
      </c>
      <c r="G217" s="8">
        <f t="shared" si="35"/>
        <v>0</v>
      </c>
      <c r="H217" s="10">
        <v>0</v>
      </c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1:28" ht="12.75">
      <c r="A218" s="7">
        <v>300</v>
      </c>
      <c r="B218" s="5" t="s">
        <v>23</v>
      </c>
      <c r="C218" s="8">
        <v>0</v>
      </c>
      <c r="D218" s="8">
        <v>0</v>
      </c>
      <c r="E218" s="8">
        <v>0</v>
      </c>
      <c r="F218" s="8">
        <v>0</v>
      </c>
      <c r="G218" s="8">
        <f t="shared" si="35"/>
        <v>0</v>
      </c>
      <c r="H218" s="10">
        <v>0</v>
      </c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1:28" ht="12.75">
      <c r="A219" s="7">
        <v>300</v>
      </c>
      <c r="B219" s="5" t="s">
        <v>86</v>
      </c>
      <c r="C219" s="8">
        <v>0</v>
      </c>
      <c r="D219" s="8">
        <v>0</v>
      </c>
      <c r="E219" s="8">
        <v>0</v>
      </c>
      <c r="F219" s="8">
        <v>0</v>
      </c>
      <c r="G219" s="8">
        <f t="shared" si="35"/>
        <v>0</v>
      </c>
      <c r="H219" s="10">
        <v>0</v>
      </c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1:28" ht="12.75">
      <c r="A220" s="7">
        <v>561</v>
      </c>
      <c r="B220" s="5" t="s">
        <v>25</v>
      </c>
      <c r="C220" s="8">
        <v>0</v>
      </c>
      <c r="D220" s="8">
        <v>0</v>
      </c>
      <c r="E220" s="8">
        <v>0</v>
      </c>
      <c r="F220" s="8">
        <v>0</v>
      </c>
      <c r="G220" s="8">
        <f t="shared" si="35"/>
        <v>0</v>
      </c>
      <c r="H220" s="10">
        <v>0</v>
      </c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1:28" ht="12.75">
      <c r="A221" s="7">
        <v>593</v>
      </c>
      <c r="B221" s="5" t="s">
        <v>26</v>
      </c>
      <c r="C221" s="8">
        <v>0</v>
      </c>
      <c r="D221" s="8">
        <v>0</v>
      </c>
      <c r="E221" s="8">
        <v>0</v>
      </c>
      <c r="F221" s="8">
        <v>0</v>
      </c>
      <c r="G221" s="8">
        <f t="shared" si="35"/>
        <v>0</v>
      </c>
      <c r="H221" s="10">
        <v>0</v>
      </c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1:28" ht="12.75">
      <c r="A222" s="7">
        <v>566</v>
      </c>
      <c r="B222" s="5" t="s">
        <v>27</v>
      </c>
      <c r="C222" s="8">
        <v>0</v>
      </c>
      <c r="D222" s="8">
        <v>0</v>
      </c>
      <c r="E222" s="8">
        <v>0</v>
      </c>
      <c r="F222" s="8">
        <v>0</v>
      </c>
      <c r="G222" s="8">
        <f t="shared" si="35"/>
        <v>0</v>
      </c>
      <c r="H222" s="10">
        <v>0</v>
      </c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pans="1:28" ht="12.75">
      <c r="A223" s="7">
        <v>500</v>
      </c>
      <c r="B223" s="5" t="s">
        <v>28</v>
      </c>
      <c r="C223" s="8">
        <v>0</v>
      </c>
      <c r="D223" s="8">
        <v>0</v>
      </c>
      <c r="E223" s="8">
        <v>0</v>
      </c>
      <c r="F223" s="8">
        <v>0</v>
      </c>
      <c r="G223" s="8">
        <f t="shared" si="35"/>
        <v>0</v>
      </c>
      <c r="H223" s="10">
        <v>0</v>
      </c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1:28" ht="12.75">
      <c r="A224" s="7">
        <v>600</v>
      </c>
      <c r="B224" s="5" t="s">
        <v>29</v>
      </c>
      <c r="C224" s="8">
        <v>0</v>
      </c>
      <c r="D224" s="8">
        <v>0</v>
      </c>
      <c r="E224" s="8">
        <v>0</v>
      </c>
      <c r="F224" s="8">
        <v>0</v>
      </c>
      <c r="G224" s="8">
        <f t="shared" si="35"/>
        <v>0</v>
      </c>
      <c r="H224" s="10">
        <v>0</v>
      </c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1:28" ht="12.75">
      <c r="A225" s="7">
        <v>700</v>
      </c>
      <c r="B225" s="5" t="s">
        <v>30</v>
      </c>
      <c r="C225" s="8">
        <v>0</v>
      </c>
      <c r="D225" s="8">
        <v>0</v>
      </c>
      <c r="E225" s="8">
        <v>0</v>
      </c>
      <c r="F225" s="8">
        <v>0</v>
      </c>
      <c r="G225" s="8">
        <f t="shared" si="35"/>
        <v>0</v>
      </c>
      <c r="H225" s="10">
        <v>0</v>
      </c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1:28" ht="12.75">
      <c r="A226" s="7">
        <v>800</v>
      </c>
      <c r="B226" s="5" t="s">
        <v>31</v>
      </c>
      <c r="C226" s="8">
        <v>0</v>
      </c>
      <c r="D226" s="8">
        <v>0</v>
      </c>
      <c r="E226" s="8">
        <v>0</v>
      </c>
      <c r="F226" s="8">
        <v>0</v>
      </c>
      <c r="G226" s="8">
        <f t="shared" si="35"/>
        <v>0</v>
      </c>
      <c r="H226" s="10">
        <v>0</v>
      </c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1:28" ht="12.75">
      <c r="A227" s="7">
        <v>900</v>
      </c>
      <c r="B227" s="5" t="s">
        <v>32</v>
      </c>
      <c r="C227" s="8">
        <v>0</v>
      </c>
      <c r="D227" s="8">
        <v>0</v>
      </c>
      <c r="E227" s="8">
        <v>0</v>
      </c>
      <c r="F227" s="8">
        <v>0</v>
      </c>
      <c r="G227" s="8">
        <f t="shared" si="35"/>
        <v>0</v>
      </c>
      <c r="H227" s="10">
        <v>0</v>
      </c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1:28" ht="12.75">
      <c r="A228" s="5"/>
      <c r="B228" s="5"/>
      <c r="C228" s="8">
        <f>SUM(C216:C227)</f>
        <v>1800</v>
      </c>
      <c r="D228" s="8">
        <v>0</v>
      </c>
      <c r="E228" s="8">
        <f aca="true" t="shared" si="36" ref="E228:G228">SUM(E216:E227)</f>
        <v>0</v>
      </c>
      <c r="F228" s="8">
        <f t="shared" si="36"/>
        <v>0</v>
      </c>
      <c r="G228" s="8">
        <f t="shared" si="36"/>
        <v>0</v>
      </c>
      <c r="H228" s="10">
        <v>0</v>
      </c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1:28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1:28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1:28" ht="12.75">
      <c r="A231" s="2"/>
      <c r="B231" s="2" t="s">
        <v>87</v>
      </c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1:28" ht="12.75">
      <c r="A232" s="5"/>
      <c r="B232" s="11" t="s">
        <v>16</v>
      </c>
      <c r="C232" s="12" t="s">
        <v>17</v>
      </c>
      <c r="D232" s="12" t="s">
        <v>18</v>
      </c>
      <c r="E232" s="12" t="s">
        <v>98</v>
      </c>
      <c r="F232" s="12" t="s">
        <v>20</v>
      </c>
      <c r="G232" s="11" t="s">
        <v>7</v>
      </c>
      <c r="H232" s="12" t="s">
        <v>21</v>
      </c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pans="1:28" ht="12.75">
      <c r="A233" s="5"/>
      <c r="B233" s="5"/>
      <c r="C233" s="5"/>
      <c r="D233" s="5"/>
      <c r="E233" s="5"/>
      <c r="F233" s="5"/>
      <c r="G233" s="5"/>
      <c r="H233" s="5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spans="1:28" ht="12.75">
      <c r="A234" s="7">
        <v>100</v>
      </c>
      <c r="B234" s="5" t="s">
        <v>22</v>
      </c>
      <c r="C234" s="8">
        <v>0</v>
      </c>
      <c r="D234" s="8">
        <v>0</v>
      </c>
      <c r="E234" s="8">
        <v>0</v>
      </c>
      <c r="F234" s="8">
        <v>0</v>
      </c>
      <c r="G234" s="8">
        <f aca="true" t="shared" si="37" ref="G234:G246">F234-E234</f>
        <v>0</v>
      </c>
      <c r="H234" s="10">
        <v>0</v>
      </c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 spans="1:28" ht="12.75">
      <c r="A235" s="7">
        <v>200</v>
      </c>
      <c r="B235" s="5" t="s">
        <v>10</v>
      </c>
      <c r="C235" s="8">
        <v>0</v>
      </c>
      <c r="D235" s="8">
        <v>0</v>
      </c>
      <c r="E235" s="8">
        <v>0</v>
      </c>
      <c r="F235" s="8">
        <v>0</v>
      </c>
      <c r="G235" s="8">
        <f t="shared" si="37"/>
        <v>0</v>
      </c>
      <c r="H235" s="10">
        <v>0</v>
      </c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</row>
    <row r="236" spans="1:28" ht="12.75">
      <c r="A236" s="7">
        <v>300</v>
      </c>
      <c r="B236" s="5" t="s">
        <v>23</v>
      </c>
      <c r="C236" s="8">
        <v>0</v>
      </c>
      <c r="D236" s="8">
        <v>0</v>
      </c>
      <c r="E236" s="8">
        <v>0</v>
      </c>
      <c r="F236" s="8">
        <v>0</v>
      </c>
      <c r="G236" s="8">
        <f t="shared" si="37"/>
        <v>0</v>
      </c>
      <c r="H236" s="10">
        <v>0</v>
      </c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</row>
    <row r="237" spans="1:28" ht="12.75">
      <c r="A237" s="7">
        <v>400</v>
      </c>
      <c r="B237" s="5" t="s">
        <v>88</v>
      </c>
      <c r="C237" s="8">
        <v>0</v>
      </c>
      <c r="D237" s="8">
        <v>0</v>
      </c>
      <c r="E237" s="8">
        <v>0</v>
      </c>
      <c r="F237" s="8">
        <v>0</v>
      </c>
      <c r="G237" s="8">
        <f t="shared" si="37"/>
        <v>0</v>
      </c>
      <c r="H237" s="10">
        <v>0</v>
      </c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</row>
    <row r="238" spans="1:28" ht="12.75">
      <c r="A238" s="7">
        <v>561</v>
      </c>
      <c r="B238" s="5" t="s">
        <v>25</v>
      </c>
      <c r="C238" s="8">
        <v>0</v>
      </c>
      <c r="D238" s="8">
        <v>0</v>
      </c>
      <c r="E238" s="8">
        <v>0</v>
      </c>
      <c r="F238" s="8">
        <v>0</v>
      </c>
      <c r="G238" s="8">
        <f t="shared" si="37"/>
        <v>0</v>
      </c>
      <c r="H238" s="10">
        <v>0</v>
      </c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</row>
    <row r="239" spans="1:28" ht="12.75">
      <c r="A239" s="7">
        <v>593</v>
      </c>
      <c r="B239" s="5" t="s">
        <v>26</v>
      </c>
      <c r="C239" s="8">
        <v>0</v>
      </c>
      <c r="D239" s="8">
        <v>0</v>
      </c>
      <c r="E239" s="8">
        <v>0</v>
      </c>
      <c r="F239" s="8">
        <v>0</v>
      </c>
      <c r="G239" s="8">
        <f t="shared" si="37"/>
        <v>0</v>
      </c>
      <c r="H239" s="10">
        <v>0</v>
      </c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</row>
    <row r="240" spans="1:28" ht="12.75">
      <c r="A240" s="7">
        <v>566</v>
      </c>
      <c r="B240" s="5" t="s">
        <v>27</v>
      </c>
      <c r="C240" s="8">
        <v>0</v>
      </c>
      <c r="D240" s="8">
        <v>0</v>
      </c>
      <c r="E240" s="8">
        <v>0</v>
      </c>
      <c r="F240" s="8">
        <v>0</v>
      </c>
      <c r="G240" s="8">
        <f t="shared" si="37"/>
        <v>0</v>
      </c>
      <c r="H240" s="10">
        <v>0</v>
      </c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</row>
    <row r="241" spans="1:28" ht="12.75">
      <c r="A241" s="7">
        <v>500</v>
      </c>
      <c r="B241" s="5" t="s">
        <v>28</v>
      </c>
      <c r="C241" s="8">
        <v>0</v>
      </c>
      <c r="D241" s="8">
        <v>0</v>
      </c>
      <c r="E241" s="8">
        <v>0</v>
      </c>
      <c r="F241" s="8">
        <v>0</v>
      </c>
      <c r="G241" s="8">
        <f t="shared" si="37"/>
        <v>0</v>
      </c>
      <c r="H241" s="10">
        <v>0</v>
      </c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</row>
    <row r="242" spans="1:28" ht="12.75">
      <c r="A242" s="7">
        <v>600</v>
      </c>
      <c r="B242" s="5" t="s">
        <v>29</v>
      </c>
      <c r="C242" s="8">
        <v>0</v>
      </c>
      <c r="D242" s="8">
        <v>0</v>
      </c>
      <c r="E242" s="8">
        <v>0</v>
      </c>
      <c r="F242" s="8">
        <v>0</v>
      </c>
      <c r="G242" s="8">
        <f t="shared" si="37"/>
        <v>0</v>
      </c>
      <c r="H242" s="10">
        <v>0</v>
      </c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</row>
    <row r="243" spans="1:28" ht="12.75">
      <c r="A243" s="7">
        <v>700</v>
      </c>
      <c r="B243" s="5" t="s">
        <v>30</v>
      </c>
      <c r="C243" s="8">
        <v>0</v>
      </c>
      <c r="D243" s="8">
        <v>0</v>
      </c>
      <c r="E243" s="8">
        <v>0</v>
      </c>
      <c r="F243" s="8">
        <v>0</v>
      </c>
      <c r="G243" s="8">
        <f t="shared" si="37"/>
        <v>0</v>
      </c>
      <c r="H243" s="10">
        <v>0</v>
      </c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</row>
    <row r="244" spans="1:28" ht="12.75">
      <c r="A244" s="7">
        <v>800</v>
      </c>
      <c r="B244" s="5" t="s">
        <v>31</v>
      </c>
      <c r="C244" s="8">
        <v>0</v>
      </c>
      <c r="D244" s="8">
        <v>0</v>
      </c>
      <c r="E244" s="8">
        <v>0</v>
      </c>
      <c r="F244" s="8">
        <v>0</v>
      </c>
      <c r="G244" s="8">
        <f t="shared" si="37"/>
        <v>0</v>
      </c>
      <c r="H244" s="10">
        <v>0</v>
      </c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</row>
    <row r="245" spans="1:28" ht="12.75">
      <c r="A245" s="7">
        <v>897</v>
      </c>
      <c r="B245" s="5" t="s">
        <v>89</v>
      </c>
      <c r="C245" s="8">
        <v>0</v>
      </c>
      <c r="D245" s="8">
        <v>0</v>
      </c>
      <c r="E245" s="8">
        <v>0</v>
      </c>
      <c r="F245" s="8">
        <v>0</v>
      </c>
      <c r="G245" s="8">
        <f t="shared" si="37"/>
        <v>0</v>
      </c>
      <c r="H245" s="10">
        <v>0</v>
      </c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</row>
    <row r="246" spans="1:28" ht="12.75">
      <c r="A246" s="7">
        <v>900</v>
      </c>
      <c r="B246" s="5" t="s">
        <v>32</v>
      </c>
      <c r="C246" s="8">
        <v>0</v>
      </c>
      <c r="D246" s="8">
        <v>0</v>
      </c>
      <c r="E246" s="8">
        <v>0</v>
      </c>
      <c r="F246" s="8">
        <v>0</v>
      </c>
      <c r="G246" s="8">
        <f t="shared" si="37"/>
        <v>0</v>
      </c>
      <c r="H246" s="10">
        <v>0</v>
      </c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</row>
    <row r="247" spans="1:28" ht="12.75">
      <c r="A247" s="5"/>
      <c r="B247" s="5"/>
      <c r="C247" s="8">
        <f>SUM(C234:C246)</f>
        <v>0</v>
      </c>
      <c r="D247" s="8">
        <v>0</v>
      </c>
      <c r="E247" s="8">
        <f aca="true" t="shared" si="38" ref="E247:G247">SUM(E234:E246)</f>
        <v>0</v>
      </c>
      <c r="F247" s="8">
        <f t="shared" si="38"/>
        <v>0</v>
      </c>
      <c r="G247" s="8">
        <f t="shared" si="38"/>
        <v>0</v>
      </c>
      <c r="H247" s="10">
        <v>0</v>
      </c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</row>
    <row r="248" spans="1:28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</row>
    <row r="249" spans="1:28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</row>
    <row r="250" spans="1:28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</row>
    <row r="251" spans="1:28" ht="12.75">
      <c r="A251" s="2"/>
      <c r="B251" s="2" t="s">
        <v>90</v>
      </c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</row>
    <row r="252" spans="1:28" ht="12.75">
      <c r="A252" s="5"/>
      <c r="B252" s="11" t="s">
        <v>16</v>
      </c>
      <c r="C252" s="12" t="s">
        <v>17</v>
      </c>
      <c r="D252" s="12" t="s">
        <v>18</v>
      </c>
      <c r="E252" s="12" t="s">
        <v>98</v>
      </c>
      <c r="F252" s="12" t="s">
        <v>20</v>
      </c>
      <c r="G252" s="11" t="s">
        <v>7</v>
      </c>
      <c r="H252" s="12" t="s">
        <v>21</v>
      </c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</row>
    <row r="253" spans="1:28" ht="12.75">
      <c r="A253" s="5"/>
      <c r="B253" s="5"/>
      <c r="C253" s="5"/>
      <c r="D253" s="5"/>
      <c r="E253" s="5"/>
      <c r="F253" s="5"/>
      <c r="G253" s="5"/>
      <c r="H253" s="5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</row>
    <row r="254" spans="1:28" ht="12.75">
      <c r="A254" s="7">
        <v>100</v>
      </c>
      <c r="B254" s="5" t="s">
        <v>22</v>
      </c>
      <c r="C254" s="8">
        <v>844.36</v>
      </c>
      <c r="D254" s="8">
        <v>700.03</v>
      </c>
      <c r="E254" s="8">
        <v>3003</v>
      </c>
      <c r="F254" s="8">
        <v>3110</v>
      </c>
      <c r="G254" s="8">
        <f aca="true" t="shared" si="39" ref="G254:G265">F254-E254</f>
        <v>107</v>
      </c>
      <c r="H254" s="10">
        <v>0</v>
      </c>
      <c r="I254" s="2" t="s">
        <v>103</v>
      </c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</row>
    <row r="255" spans="1:28" ht="12.75">
      <c r="A255" s="7">
        <v>200</v>
      </c>
      <c r="B255" s="5" t="s">
        <v>10</v>
      </c>
      <c r="C255" s="8">
        <v>121.39</v>
      </c>
      <c r="D255" s="8">
        <f>52.98+41.95+1.02+3.61</f>
        <v>99.56</v>
      </c>
      <c r="E255" s="8">
        <v>427</v>
      </c>
      <c r="F255" s="8">
        <f>238+210+48+25</f>
        <v>521</v>
      </c>
      <c r="G255" s="8">
        <f t="shared" si="39"/>
        <v>94</v>
      </c>
      <c r="H255" s="10">
        <f>G255/E255</f>
        <v>0.22014051522248243</v>
      </c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</row>
    <row r="256" spans="1:28" ht="12.75">
      <c r="A256" s="7">
        <v>300</v>
      </c>
      <c r="B256" s="5" t="s">
        <v>23</v>
      </c>
      <c r="C256" s="8">
        <v>0</v>
      </c>
      <c r="D256" s="8">
        <v>0</v>
      </c>
      <c r="E256" s="8">
        <v>0</v>
      </c>
      <c r="F256" s="8">
        <v>0</v>
      </c>
      <c r="G256" s="8">
        <f t="shared" si="39"/>
        <v>0</v>
      </c>
      <c r="H256" s="10">
        <v>0</v>
      </c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</row>
    <row r="257" spans="1:28" ht="12.75">
      <c r="A257" s="7">
        <v>300</v>
      </c>
      <c r="B257" s="5" t="s">
        <v>92</v>
      </c>
      <c r="C257" s="8">
        <v>0</v>
      </c>
      <c r="D257" s="8">
        <v>0</v>
      </c>
      <c r="E257" s="8">
        <v>0</v>
      </c>
      <c r="F257" s="8">
        <v>0</v>
      </c>
      <c r="G257" s="8">
        <f t="shared" si="39"/>
        <v>0</v>
      </c>
      <c r="H257" s="10">
        <v>0</v>
      </c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</row>
    <row r="258" spans="1:28" ht="12.75">
      <c r="A258" s="7">
        <v>561</v>
      </c>
      <c r="B258" s="5" t="s">
        <v>25</v>
      </c>
      <c r="C258" s="8">
        <v>0</v>
      </c>
      <c r="D258" s="8">
        <v>0</v>
      </c>
      <c r="E258" s="8">
        <v>0</v>
      </c>
      <c r="F258" s="8">
        <v>0</v>
      </c>
      <c r="G258" s="8">
        <f t="shared" si="39"/>
        <v>0</v>
      </c>
      <c r="H258" s="10">
        <v>0</v>
      </c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</row>
    <row r="259" spans="1:28" ht="12.75">
      <c r="A259" s="7">
        <v>593</v>
      </c>
      <c r="B259" s="5" t="s">
        <v>26</v>
      </c>
      <c r="C259" s="8">
        <v>0</v>
      </c>
      <c r="D259" s="8">
        <v>0</v>
      </c>
      <c r="E259" s="8">
        <v>0</v>
      </c>
      <c r="F259" s="8">
        <v>0</v>
      </c>
      <c r="G259" s="8">
        <f t="shared" si="39"/>
        <v>0</v>
      </c>
      <c r="H259" s="10">
        <v>0</v>
      </c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</row>
    <row r="260" spans="1:28" ht="12.75">
      <c r="A260" s="7">
        <v>566</v>
      </c>
      <c r="B260" s="5" t="s">
        <v>27</v>
      </c>
      <c r="C260" s="8">
        <v>0</v>
      </c>
      <c r="D260" s="8">
        <v>0</v>
      </c>
      <c r="E260" s="8">
        <v>0</v>
      </c>
      <c r="F260" s="8">
        <v>0</v>
      </c>
      <c r="G260" s="8">
        <f t="shared" si="39"/>
        <v>0</v>
      </c>
      <c r="H260" s="10">
        <v>0</v>
      </c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</row>
    <row r="261" spans="1:28" ht="12.75">
      <c r="A261" s="7">
        <v>500</v>
      </c>
      <c r="B261" s="5" t="s">
        <v>28</v>
      </c>
      <c r="C261" s="8">
        <v>0</v>
      </c>
      <c r="D261" s="8">
        <v>0</v>
      </c>
      <c r="E261" s="8">
        <v>0</v>
      </c>
      <c r="F261" s="8">
        <v>0</v>
      </c>
      <c r="G261" s="8">
        <f t="shared" si="39"/>
        <v>0</v>
      </c>
      <c r="H261" s="10">
        <v>0</v>
      </c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</row>
    <row r="262" spans="1:28" ht="12.75">
      <c r="A262" s="7">
        <v>600</v>
      </c>
      <c r="B262" s="5" t="s">
        <v>29</v>
      </c>
      <c r="C262" s="8">
        <v>0</v>
      </c>
      <c r="D262" s="8">
        <v>0</v>
      </c>
      <c r="E262" s="8">
        <v>0</v>
      </c>
      <c r="F262" s="8">
        <v>0</v>
      </c>
      <c r="G262" s="8">
        <f t="shared" si="39"/>
        <v>0</v>
      </c>
      <c r="H262" s="10">
        <v>0</v>
      </c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</row>
    <row r="263" spans="1:28" ht="12.75">
      <c r="A263" s="7">
        <v>700</v>
      </c>
      <c r="B263" s="5" t="s">
        <v>30</v>
      </c>
      <c r="C263" s="8">
        <v>0</v>
      </c>
      <c r="D263" s="8">
        <v>0</v>
      </c>
      <c r="E263" s="8">
        <v>0</v>
      </c>
      <c r="F263" s="8">
        <v>0</v>
      </c>
      <c r="G263" s="8">
        <f t="shared" si="39"/>
        <v>0</v>
      </c>
      <c r="H263" s="10">
        <v>0</v>
      </c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</row>
    <row r="264" spans="1:28" ht="12.75">
      <c r="A264" s="7">
        <v>800</v>
      </c>
      <c r="B264" s="5" t="s">
        <v>31</v>
      </c>
      <c r="C264" s="8">
        <v>0</v>
      </c>
      <c r="D264" s="8">
        <v>0</v>
      </c>
      <c r="E264" s="8">
        <v>0</v>
      </c>
      <c r="F264" s="8">
        <v>0</v>
      </c>
      <c r="G264" s="8">
        <f t="shared" si="39"/>
        <v>0</v>
      </c>
      <c r="H264" s="10">
        <v>0</v>
      </c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</row>
    <row r="265" spans="1:28" ht="12.75">
      <c r="A265" s="7">
        <v>900</v>
      </c>
      <c r="B265" s="5" t="s">
        <v>32</v>
      </c>
      <c r="C265" s="8">
        <v>0</v>
      </c>
      <c r="D265" s="8">
        <v>0</v>
      </c>
      <c r="E265" s="8">
        <v>0</v>
      </c>
      <c r="F265" s="8">
        <v>0</v>
      </c>
      <c r="G265" s="8">
        <f t="shared" si="39"/>
        <v>0</v>
      </c>
      <c r="H265" s="10">
        <v>0</v>
      </c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</row>
    <row r="266" spans="1:28" ht="12.75">
      <c r="A266" s="5"/>
      <c r="B266" s="5"/>
      <c r="C266" s="8">
        <f aca="true" t="shared" si="40" ref="C266:G266">SUM(C254:C265)</f>
        <v>965.75</v>
      </c>
      <c r="D266" s="8">
        <f t="shared" si="40"/>
        <v>799.5899999999999</v>
      </c>
      <c r="E266" s="8">
        <f t="shared" si="40"/>
        <v>3430</v>
      </c>
      <c r="F266" s="8">
        <f t="shared" si="40"/>
        <v>3631</v>
      </c>
      <c r="G266" s="8">
        <f t="shared" si="40"/>
        <v>201</v>
      </c>
      <c r="H266" s="10">
        <f>G266/E266</f>
        <v>0.05860058309037901</v>
      </c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</row>
    <row r="267" spans="1:28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</row>
    <row r="268" spans="1:28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</row>
    <row r="269" spans="1:28" ht="12.75">
      <c r="A269" s="2"/>
      <c r="B269" s="2" t="s">
        <v>61</v>
      </c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</row>
    <row r="270" spans="1:28" ht="12.75">
      <c r="A270" s="5"/>
      <c r="B270" s="11" t="s">
        <v>16</v>
      </c>
      <c r="C270" s="12" t="s">
        <v>17</v>
      </c>
      <c r="D270" s="12" t="s">
        <v>18</v>
      </c>
      <c r="E270" s="12" t="s">
        <v>98</v>
      </c>
      <c r="F270" s="12" t="s">
        <v>20</v>
      </c>
      <c r="G270" s="11" t="s">
        <v>7</v>
      </c>
      <c r="H270" s="12" t="s">
        <v>21</v>
      </c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</row>
    <row r="271" spans="1:28" ht="12.75">
      <c r="A271" s="5"/>
      <c r="B271" s="5"/>
      <c r="C271" s="5"/>
      <c r="D271" s="5"/>
      <c r="E271" s="5"/>
      <c r="F271" s="5"/>
      <c r="G271" s="5"/>
      <c r="H271" s="5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</row>
    <row r="272" spans="1:28" ht="12.75">
      <c r="A272" s="7">
        <v>100</v>
      </c>
      <c r="B272" s="5" t="s">
        <v>22</v>
      </c>
      <c r="C272" s="8">
        <v>35513.78</v>
      </c>
      <c r="D272" s="8">
        <v>31567.92</v>
      </c>
      <c r="E272" s="8">
        <v>35576</v>
      </c>
      <c r="F272" s="8">
        <v>34307</v>
      </c>
      <c r="G272" s="8">
        <f aca="true" t="shared" si="41" ref="G272:G283">F272-E272</f>
        <v>-1269</v>
      </c>
      <c r="H272" s="10">
        <f aca="true" t="shared" si="42" ref="H272:H273">G272/E272</f>
        <v>-0.03567011468405667</v>
      </c>
      <c r="I272" s="2" t="s">
        <v>104</v>
      </c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</row>
    <row r="273" spans="1:28" ht="12.75">
      <c r="A273" s="7">
        <v>200</v>
      </c>
      <c r="B273" s="5" t="s">
        <v>10</v>
      </c>
      <c r="C273" s="8">
        <v>11856.82</v>
      </c>
      <c r="D273" s="8">
        <v>10841.44</v>
      </c>
      <c r="E273" s="8">
        <v>14298.3</v>
      </c>
      <c r="F273" s="8">
        <v>14403.4</v>
      </c>
      <c r="G273" s="8">
        <f t="shared" si="41"/>
        <v>105.10000000000036</v>
      </c>
      <c r="H273" s="10">
        <f t="shared" si="42"/>
        <v>0.0073505241881902305</v>
      </c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</row>
    <row r="274" spans="1:28" ht="12.75">
      <c r="A274" s="7">
        <v>300</v>
      </c>
      <c r="B274" s="5" t="s">
        <v>23</v>
      </c>
      <c r="C274" s="8">
        <v>0</v>
      </c>
      <c r="D274" s="8">
        <v>0</v>
      </c>
      <c r="E274" s="8">
        <v>0</v>
      </c>
      <c r="F274" s="8">
        <v>0</v>
      </c>
      <c r="G274" s="8">
        <f t="shared" si="41"/>
        <v>0</v>
      </c>
      <c r="H274" s="10">
        <v>0</v>
      </c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</row>
    <row r="275" spans="1:28" ht="12.75">
      <c r="A275" s="7">
        <v>400</v>
      </c>
      <c r="B275" s="5" t="s">
        <v>24</v>
      </c>
      <c r="C275" s="8">
        <v>1444.08</v>
      </c>
      <c r="D275" s="8">
        <v>374.22</v>
      </c>
      <c r="E275" s="8">
        <v>1000</v>
      </c>
      <c r="F275" s="8">
        <v>1000</v>
      </c>
      <c r="G275" s="8">
        <f t="shared" si="41"/>
        <v>0</v>
      </c>
      <c r="H275" s="10">
        <f>G275/E275</f>
        <v>0</v>
      </c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</row>
    <row r="276" spans="1:28" ht="12.75">
      <c r="A276" s="7">
        <v>561</v>
      </c>
      <c r="B276" s="5" t="s">
        <v>25</v>
      </c>
      <c r="C276" s="8">
        <v>0</v>
      </c>
      <c r="D276" s="8">
        <v>0</v>
      </c>
      <c r="E276" s="8">
        <v>0</v>
      </c>
      <c r="F276" s="8">
        <v>0</v>
      </c>
      <c r="G276" s="8">
        <f t="shared" si="41"/>
        <v>0</v>
      </c>
      <c r="H276" s="10">
        <v>0</v>
      </c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</row>
    <row r="277" spans="1:28" ht="12.75">
      <c r="A277" s="7">
        <v>593</v>
      </c>
      <c r="B277" s="5" t="s">
        <v>26</v>
      </c>
      <c r="C277" s="8">
        <v>0</v>
      </c>
      <c r="D277" s="8">
        <v>0</v>
      </c>
      <c r="E277" s="8">
        <v>0</v>
      </c>
      <c r="F277" s="8">
        <v>0</v>
      </c>
      <c r="G277" s="8">
        <f t="shared" si="41"/>
        <v>0</v>
      </c>
      <c r="H277" s="10">
        <v>0</v>
      </c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</row>
    <row r="278" spans="1:28" ht="12.75">
      <c r="A278" s="7">
        <v>566</v>
      </c>
      <c r="B278" s="5" t="s">
        <v>27</v>
      </c>
      <c r="C278" s="8">
        <v>0</v>
      </c>
      <c r="D278" s="8">
        <v>0</v>
      </c>
      <c r="E278" s="8">
        <v>0</v>
      </c>
      <c r="F278" s="8">
        <v>0</v>
      </c>
      <c r="G278" s="8">
        <f t="shared" si="41"/>
        <v>0</v>
      </c>
      <c r="H278" s="10">
        <v>0</v>
      </c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</row>
    <row r="279" spans="1:28" ht="12.75">
      <c r="A279" s="7">
        <v>500</v>
      </c>
      <c r="B279" s="5" t="s">
        <v>28</v>
      </c>
      <c r="C279" s="8">
        <v>0</v>
      </c>
      <c r="D279" s="8">
        <v>0</v>
      </c>
      <c r="E279" s="8">
        <v>0</v>
      </c>
      <c r="F279" s="8">
        <v>0</v>
      </c>
      <c r="G279" s="8">
        <f t="shared" si="41"/>
        <v>0</v>
      </c>
      <c r="H279" s="10">
        <v>1</v>
      </c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</row>
    <row r="280" spans="1:28" ht="12.75">
      <c r="A280" s="7">
        <v>600</v>
      </c>
      <c r="B280" s="5" t="s">
        <v>29</v>
      </c>
      <c r="C280" s="8">
        <v>24190.21</v>
      </c>
      <c r="D280" s="8">
        <v>22315.11</v>
      </c>
      <c r="E280" s="8">
        <v>18770</v>
      </c>
      <c r="F280" s="8">
        <v>19125</v>
      </c>
      <c r="G280" s="8">
        <f t="shared" si="41"/>
        <v>355</v>
      </c>
      <c r="H280" s="10">
        <f>G280/E280</f>
        <v>0.018913159296750134</v>
      </c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</row>
    <row r="281" spans="1:28" ht="12.75">
      <c r="A281" s="7">
        <v>700</v>
      </c>
      <c r="B281" s="5" t="s">
        <v>30</v>
      </c>
      <c r="C281" s="8">
        <v>0</v>
      </c>
      <c r="D281" s="8">
        <v>2800</v>
      </c>
      <c r="E281" s="8">
        <v>3000</v>
      </c>
      <c r="F281" s="8">
        <v>0</v>
      </c>
      <c r="G281" s="8">
        <f t="shared" si="41"/>
        <v>-3000</v>
      </c>
      <c r="H281" s="10">
        <v>0</v>
      </c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</row>
    <row r="282" spans="1:28" ht="12.75">
      <c r="A282" s="7">
        <v>800</v>
      </c>
      <c r="B282" s="5" t="s">
        <v>31</v>
      </c>
      <c r="C282" s="8">
        <v>755</v>
      </c>
      <c r="D282" s="8">
        <v>0</v>
      </c>
      <c r="E282" s="8">
        <v>0</v>
      </c>
      <c r="F282" s="8">
        <v>0</v>
      </c>
      <c r="G282" s="8">
        <f t="shared" si="41"/>
        <v>0</v>
      </c>
      <c r="H282" s="10">
        <v>0</v>
      </c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</row>
    <row r="283" spans="1:28" ht="12.75">
      <c r="A283" s="7">
        <v>900</v>
      </c>
      <c r="B283" s="5" t="s">
        <v>32</v>
      </c>
      <c r="C283" s="8">
        <v>0</v>
      </c>
      <c r="D283" s="8">
        <v>0</v>
      </c>
      <c r="E283" s="8">
        <v>0</v>
      </c>
      <c r="F283" s="8">
        <v>0</v>
      </c>
      <c r="G283" s="8">
        <f t="shared" si="41"/>
        <v>0</v>
      </c>
      <c r="H283" s="10">
        <v>0</v>
      </c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</row>
    <row r="284" spans="1:28" ht="12.75">
      <c r="A284" s="5"/>
      <c r="B284" s="5"/>
      <c r="C284" s="8">
        <f aca="true" t="shared" si="43" ref="C284:G284">SUM(C272:C283)</f>
        <v>73759.89</v>
      </c>
      <c r="D284" s="8">
        <f t="shared" si="43"/>
        <v>67898.69</v>
      </c>
      <c r="E284" s="8">
        <f t="shared" si="43"/>
        <v>72644.3</v>
      </c>
      <c r="F284" s="8">
        <f t="shared" si="43"/>
        <v>68835.4</v>
      </c>
      <c r="G284" s="8">
        <f t="shared" si="43"/>
        <v>-3808.8999999999996</v>
      </c>
      <c r="H284" s="10">
        <f>G284/E284</f>
        <v>-0.05243219357884926</v>
      </c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</row>
    <row r="285" spans="1:28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</row>
    <row r="286" spans="1:28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</row>
    <row r="287" spans="1:28" ht="12.75">
      <c r="A287" s="2"/>
      <c r="B287" s="2" t="s">
        <v>94</v>
      </c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</row>
    <row r="288" spans="1:28" ht="12.75">
      <c r="A288" s="5"/>
      <c r="B288" s="11" t="s">
        <v>16</v>
      </c>
      <c r="C288" s="12" t="s">
        <v>17</v>
      </c>
      <c r="D288" s="12" t="s">
        <v>18</v>
      </c>
      <c r="E288" s="12" t="s">
        <v>98</v>
      </c>
      <c r="F288" s="12" t="s">
        <v>20</v>
      </c>
      <c r="G288" s="11" t="s">
        <v>7</v>
      </c>
      <c r="H288" s="12" t="s">
        <v>21</v>
      </c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</row>
    <row r="289" spans="1:28" ht="12.75">
      <c r="A289" s="5"/>
      <c r="B289" s="5"/>
      <c r="C289" s="5"/>
      <c r="D289" s="5"/>
      <c r="E289" s="5"/>
      <c r="F289" s="5"/>
      <c r="G289" s="5"/>
      <c r="H289" s="5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</row>
    <row r="290" spans="1:28" ht="12.75">
      <c r="A290" s="7">
        <v>100</v>
      </c>
      <c r="B290" s="5" t="s">
        <v>22</v>
      </c>
      <c r="C290" s="8">
        <v>0</v>
      </c>
      <c r="D290" s="8">
        <v>0</v>
      </c>
      <c r="E290" s="8">
        <v>0</v>
      </c>
      <c r="F290" s="8">
        <v>0</v>
      </c>
      <c r="G290" s="8">
        <f aca="true" t="shared" si="44" ref="G290:G301">F290-E290</f>
        <v>0</v>
      </c>
      <c r="H290" s="10">
        <v>0</v>
      </c>
      <c r="I290" s="2" t="s">
        <v>3</v>
      </c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</row>
    <row r="291" spans="1:28" ht="12.75">
      <c r="A291" s="7">
        <v>200</v>
      </c>
      <c r="B291" s="5" t="s">
        <v>10</v>
      </c>
      <c r="C291" s="8">
        <v>0</v>
      </c>
      <c r="D291" s="8">
        <v>0</v>
      </c>
      <c r="E291" s="8">
        <v>0</v>
      </c>
      <c r="F291" s="8">
        <v>0</v>
      </c>
      <c r="G291" s="8">
        <f t="shared" si="44"/>
        <v>0</v>
      </c>
      <c r="H291" s="10">
        <v>0</v>
      </c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</row>
    <row r="292" spans="1:28" ht="12.75">
      <c r="A292" s="7">
        <v>300</v>
      </c>
      <c r="B292" s="5" t="s">
        <v>23</v>
      </c>
      <c r="C292" s="8">
        <v>0</v>
      </c>
      <c r="D292" s="8">
        <v>0</v>
      </c>
      <c r="E292" s="8">
        <v>0</v>
      </c>
      <c r="F292" s="8">
        <v>0</v>
      </c>
      <c r="G292" s="8">
        <f t="shared" si="44"/>
        <v>0</v>
      </c>
      <c r="H292" s="10">
        <v>0</v>
      </c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</row>
    <row r="293" spans="1:28" ht="12.75">
      <c r="A293" s="7">
        <v>400</v>
      </c>
      <c r="B293" s="5" t="s">
        <v>24</v>
      </c>
      <c r="C293" s="8">
        <v>0</v>
      </c>
      <c r="D293" s="8">
        <v>0</v>
      </c>
      <c r="E293" s="8">
        <v>0</v>
      </c>
      <c r="F293" s="8">
        <v>0</v>
      </c>
      <c r="G293" s="8">
        <f t="shared" si="44"/>
        <v>0</v>
      </c>
      <c r="H293" s="10">
        <v>0</v>
      </c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</row>
    <row r="294" spans="1:28" ht="12.75">
      <c r="A294" s="7">
        <v>561</v>
      </c>
      <c r="B294" s="5" t="s">
        <v>25</v>
      </c>
      <c r="C294" s="8">
        <v>0</v>
      </c>
      <c r="D294" s="8">
        <v>0</v>
      </c>
      <c r="E294" s="8">
        <v>0</v>
      </c>
      <c r="F294" s="8">
        <v>0</v>
      </c>
      <c r="G294" s="8">
        <f t="shared" si="44"/>
        <v>0</v>
      </c>
      <c r="H294" s="10">
        <v>0</v>
      </c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</row>
    <row r="295" spans="1:28" ht="12.75">
      <c r="A295" s="7">
        <v>593</v>
      </c>
      <c r="B295" s="5" t="s">
        <v>26</v>
      </c>
      <c r="C295" s="8">
        <v>0</v>
      </c>
      <c r="D295" s="8">
        <v>0</v>
      </c>
      <c r="E295" s="8">
        <v>0</v>
      </c>
      <c r="F295" s="8">
        <v>0</v>
      </c>
      <c r="G295" s="8">
        <f t="shared" si="44"/>
        <v>0</v>
      </c>
      <c r="H295" s="10">
        <v>0</v>
      </c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</row>
    <row r="296" spans="1:28" ht="12.75">
      <c r="A296" s="7">
        <v>566</v>
      </c>
      <c r="B296" s="5" t="s">
        <v>27</v>
      </c>
      <c r="C296" s="8">
        <v>0</v>
      </c>
      <c r="D296" s="8">
        <v>0</v>
      </c>
      <c r="E296" s="8">
        <v>0</v>
      </c>
      <c r="F296" s="8">
        <v>0</v>
      </c>
      <c r="G296" s="8">
        <f t="shared" si="44"/>
        <v>0</v>
      </c>
      <c r="H296" s="10">
        <v>0</v>
      </c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</row>
    <row r="297" spans="1:28" ht="12.75">
      <c r="A297" s="7">
        <v>500</v>
      </c>
      <c r="B297" s="5" t="s">
        <v>28</v>
      </c>
      <c r="C297" s="8">
        <v>0</v>
      </c>
      <c r="D297" s="8">
        <v>0</v>
      </c>
      <c r="E297" s="8">
        <v>0</v>
      </c>
      <c r="F297" s="8">
        <v>0</v>
      </c>
      <c r="G297" s="8">
        <f t="shared" si="44"/>
        <v>0</v>
      </c>
      <c r="H297" s="10">
        <v>0</v>
      </c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</row>
    <row r="298" spans="1:28" ht="12.75">
      <c r="A298" s="7">
        <v>600</v>
      </c>
      <c r="B298" s="5" t="s">
        <v>29</v>
      </c>
      <c r="C298" s="8">
        <v>0</v>
      </c>
      <c r="D298" s="8">
        <v>0</v>
      </c>
      <c r="E298" s="8">
        <v>0</v>
      </c>
      <c r="F298" s="8">
        <v>0</v>
      </c>
      <c r="G298" s="8">
        <f t="shared" si="44"/>
        <v>0</v>
      </c>
      <c r="H298" s="10">
        <v>0</v>
      </c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</row>
    <row r="299" spans="1:28" ht="12.75">
      <c r="A299" s="7">
        <v>700</v>
      </c>
      <c r="B299" s="5" t="s">
        <v>30</v>
      </c>
      <c r="C299" s="8">
        <v>0</v>
      </c>
      <c r="D299" s="8">
        <v>0</v>
      </c>
      <c r="E299" s="8">
        <v>0</v>
      </c>
      <c r="F299" s="8">
        <v>0</v>
      </c>
      <c r="G299" s="8">
        <f t="shared" si="44"/>
        <v>0</v>
      </c>
      <c r="H299" s="10">
        <v>0</v>
      </c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</row>
    <row r="300" spans="1:28" ht="12.75">
      <c r="A300" s="7">
        <v>800</v>
      </c>
      <c r="B300" s="5" t="s">
        <v>31</v>
      </c>
      <c r="C300" s="8">
        <v>0</v>
      </c>
      <c r="D300" s="8">
        <v>0</v>
      </c>
      <c r="E300" s="8">
        <v>0</v>
      </c>
      <c r="F300" s="8">
        <v>0</v>
      </c>
      <c r="G300" s="8">
        <f t="shared" si="44"/>
        <v>0</v>
      </c>
      <c r="H300" s="10">
        <v>0</v>
      </c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</row>
    <row r="301" spans="1:28" ht="12.75">
      <c r="A301" s="7">
        <v>900</v>
      </c>
      <c r="B301" s="5" t="s">
        <v>32</v>
      </c>
      <c r="C301" s="8">
        <v>0</v>
      </c>
      <c r="D301" s="8">
        <v>0</v>
      </c>
      <c r="E301" s="8">
        <v>0</v>
      </c>
      <c r="F301" s="8">
        <v>0</v>
      </c>
      <c r="G301" s="8">
        <f t="shared" si="44"/>
        <v>0</v>
      </c>
      <c r="H301" s="10">
        <v>0</v>
      </c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</row>
    <row r="302" spans="1:28" ht="12.75">
      <c r="A302" s="5"/>
      <c r="B302" s="5"/>
      <c r="C302" s="8">
        <f>SUM(C290:C301)</f>
        <v>0</v>
      </c>
      <c r="D302" s="8">
        <v>0</v>
      </c>
      <c r="E302" s="8">
        <f aca="true" t="shared" si="45" ref="E302:G302">SUM(E290:E301)</f>
        <v>0</v>
      </c>
      <c r="F302" s="8">
        <f t="shared" si="45"/>
        <v>0</v>
      </c>
      <c r="G302" s="8">
        <f t="shared" si="45"/>
        <v>0</v>
      </c>
      <c r="H302" s="10">
        <v>0</v>
      </c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</row>
    <row r="303" spans="1:28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</row>
    <row r="304" spans="1:28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</row>
    <row r="305" spans="1:28" ht="12.75">
      <c r="A305" s="2"/>
      <c r="B305" s="2"/>
      <c r="C305" s="14">
        <f aca="true" t="shared" si="46" ref="C305:F305">C302+C284+C266+C247+C228+C210+C192+C174+C156+C138+C120+C102+C84+C66+C48+C30</f>
        <v>1522755.4100000001</v>
      </c>
      <c r="D305" s="14">
        <f t="shared" si="46"/>
        <v>1455203.57</v>
      </c>
      <c r="E305" s="14">
        <f t="shared" si="46"/>
        <v>1580777.88</v>
      </c>
      <c r="F305" s="14">
        <f t="shared" si="46"/>
        <v>1823663.4</v>
      </c>
      <c r="G305" s="14">
        <f>F305-E305</f>
        <v>242885.52000000002</v>
      </c>
      <c r="H305" s="15">
        <f>G305/E305</f>
        <v>0.15364936660171385</v>
      </c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</row>
    <row r="306" spans="1:28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</row>
    <row r="307" spans="1:28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</row>
    <row r="308" spans="1:28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</row>
    <row r="309" spans="1:28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</row>
    <row r="310" spans="1:28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</row>
    <row r="311" spans="1:28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</row>
    <row r="312" spans="1:28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</row>
    <row r="313" spans="1:28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</row>
    <row r="314" spans="1:28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</row>
    <row r="315" spans="1:28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</row>
    <row r="316" spans="1:28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</row>
    <row r="317" spans="1:28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</row>
    <row r="318" spans="1:28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</row>
    <row r="319" spans="1:28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</row>
    <row r="320" spans="1:28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</row>
    <row r="321" spans="1:28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</row>
    <row r="322" spans="1:28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</row>
    <row r="323" spans="1:28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</row>
    <row r="324" spans="1:28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</row>
    <row r="325" spans="1:28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</row>
    <row r="326" spans="1:28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</row>
    <row r="327" spans="1:28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</row>
    <row r="328" spans="1:28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</row>
    <row r="329" spans="1:28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</row>
    <row r="330" spans="1:28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</row>
    <row r="331" spans="1:28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</row>
    <row r="332" spans="1:28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</row>
    <row r="333" spans="1:28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</row>
    <row r="334" spans="1:28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</row>
    <row r="335" spans="1:28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</row>
    <row r="336" spans="1:28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</row>
    <row r="337" spans="1:28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</row>
    <row r="338" spans="1:28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</row>
    <row r="339" spans="1:28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</row>
    <row r="340" spans="1:28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</row>
    <row r="341" spans="1:28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</row>
    <row r="342" spans="1:28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</row>
    <row r="343" spans="1:28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</row>
    <row r="344" spans="1:28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</row>
    <row r="345" spans="1:28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</row>
    <row r="346" spans="1:28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</row>
    <row r="347" spans="1:28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</row>
    <row r="348" spans="1:28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</row>
    <row r="349" spans="1:28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</row>
    <row r="350" spans="1:28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</row>
    <row r="351" spans="1:28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</row>
    <row r="352" spans="1:28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</row>
    <row r="353" spans="1:28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</row>
    <row r="354" spans="1:28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</row>
    <row r="355" spans="1:28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</row>
    <row r="356" spans="1:28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</row>
    <row r="357" spans="1:28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</row>
    <row r="358" spans="1:28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</row>
    <row r="359" spans="1:28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</row>
    <row r="360" spans="1:28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</row>
    <row r="361" spans="1:28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</row>
    <row r="362" spans="1:28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</row>
    <row r="363" spans="1:28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</row>
    <row r="364" spans="1:28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</row>
    <row r="365" spans="1:28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</row>
    <row r="366" spans="1:28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</row>
    <row r="367" spans="1:28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</row>
    <row r="368" spans="1:28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</row>
    <row r="369" spans="1:28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</row>
    <row r="370" spans="1:28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</row>
    <row r="371" spans="1:28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</row>
    <row r="372" spans="1:28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</row>
    <row r="373" spans="1:28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</row>
    <row r="374" spans="1:28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</row>
    <row r="375" spans="1:28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</row>
    <row r="376" spans="1:28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</row>
    <row r="377" spans="1:28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</row>
    <row r="378" spans="1:28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</row>
    <row r="379" spans="1:28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</row>
    <row r="380" spans="1:28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</row>
    <row r="381" spans="1:28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</row>
    <row r="382" spans="1:28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</row>
    <row r="383" spans="1:28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</row>
    <row r="384" spans="1:28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</row>
    <row r="385" spans="1:28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</row>
    <row r="386" spans="1:28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</row>
    <row r="387" spans="1:28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</row>
    <row r="388" spans="1:28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</row>
    <row r="389" spans="1:28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</row>
    <row r="390" spans="1:28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</row>
    <row r="391" spans="1:28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</row>
    <row r="392" spans="1:28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</row>
    <row r="393" spans="1:28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</row>
    <row r="394" spans="1:28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</row>
    <row r="395" spans="1:28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</row>
    <row r="396" spans="1:28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</row>
    <row r="397" spans="1:28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</row>
    <row r="398" spans="1:28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</row>
    <row r="399" spans="1:28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</row>
    <row r="400" spans="1:28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</row>
    <row r="401" spans="1:28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</row>
    <row r="402" spans="1:28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</row>
    <row r="403" spans="1:28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</row>
    <row r="404" spans="1:28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</row>
    <row r="405" spans="1:28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</row>
    <row r="406" spans="1:28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</row>
    <row r="407" spans="1:28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</row>
    <row r="408" spans="1:28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</row>
    <row r="409" spans="1:28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</row>
    <row r="410" spans="1:28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</row>
    <row r="411" spans="1:28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</row>
    <row r="412" spans="1:28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</row>
    <row r="413" spans="1:28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</row>
    <row r="414" spans="1:28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</row>
    <row r="415" spans="1:28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</row>
    <row r="416" spans="1:28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</row>
    <row r="417" spans="1:28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</row>
    <row r="418" spans="1:28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</row>
    <row r="419" spans="1:28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</row>
    <row r="420" spans="1:28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</row>
    <row r="421" spans="1:28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</row>
    <row r="422" spans="1:28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</row>
    <row r="423" spans="1:28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</row>
    <row r="424" spans="1:28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</row>
    <row r="425" spans="1:28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</row>
    <row r="426" spans="1:28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</row>
    <row r="427" spans="1:28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</row>
    <row r="428" spans="1:28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</row>
    <row r="429" spans="1:28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</row>
    <row r="430" spans="1:28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</row>
    <row r="431" spans="1:28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</row>
    <row r="432" spans="1:28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</row>
    <row r="433" spans="1:28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</row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433"/>
  <sheetViews>
    <sheetView workbookViewId="0" topLeftCell="A1">
      <selection activeCell="A1" sqref="A1"/>
    </sheetView>
  </sheetViews>
  <sheetFormatPr defaultColWidth="13.7109375" defaultRowHeight="15.75" customHeight="1"/>
  <cols>
    <col min="1" max="1" width="7.57421875" style="1" customWidth="1"/>
    <col min="2" max="2" width="31.00390625" style="1" customWidth="1"/>
    <col min="3" max="16384" width="14.421875" style="1" customWidth="1"/>
  </cols>
  <sheetData>
    <row r="1" spans="1:28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2.75">
      <c r="A3" s="2"/>
      <c r="B3" s="2"/>
      <c r="C3" s="2"/>
      <c r="D3" s="3"/>
      <c r="E3" s="3" t="s">
        <v>105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2.75">
      <c r="A4" s="2"/>
      <c r="B4" s="2"/>
      <c r="C4" s="2"/>
      <c r="D4" s="4"/>
      <c r="E4" s="4" t="s">
        <v>1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2.75">
      <c r="A5" s="2"/>
      <c r="B5" s="2"/>
      <c r="C5" s="2"/>
      <c r="D5" s="3"/>
      <c r="E5" s="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2.75">
      <c r="A7" s="5"/>
      <c r="B7" s="5" t="s">
        <v>2</v>
      </c>
      <c r="C7" s="5"/>
      <c r="D7" s="5"/>
      <c r="E7" s="5"/>
      <c r="F7" s="5"/>
      <c r="G7" s="5" t="s">
        <v>3</v>
      </c>
      <c r="H7" s="5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2.75">
      <c r="A8" s="5"/>
      <c r="B8" s="5"/>
      <c r="C8" s="6" t="s">
        <v>4</v>
      </c>
      <c r="D8" s="6" t="s">
        <v>5</v>
      </c>
      <c r="E8" s="6" t="s">
        <v>6</v>
      </c>
      <c r="F8" s="6" t="s">
        <v>1</v>
      </c>
      <c r="G8" s="6" t="s">
        <v>7</v>
      </c>
      <c r="H8" s="6" t="s">
        <v>8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2.75">
      <c r="A9" s="7">
        <v>100</v>
      </c>
      <c r="B9" s="5" t="s">
        <v>9</v>
      </c>
      <c r="C9" s="8">
        <v>1949956.26</v>
      </c>
      <c r="D9" s="8">
        <v>1842578.03</v>
      </c>
      <c r="E9" s="8">
        <v>2021692.62</v>
      </c>
      <c r="F9" s="8">
        <v>2162252.14</v>
      </c>
      <c r="G9" s="9">
        <f aca="true" t="shared" si="0" ref="G9:G11">F9-E9</f>
        <v>140559.52000000002</v>
      </c>
      <c r="H9" s="10">
        <f aca="true" t="shared" si="1" ref="H9:H11">(F9-E9)/E9</f>
        <v>0.06952566310500753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12.75">
      <c r="A10" s="7">
        <v>200</v>
      </c>
      <c r="B10" s="5" t="s">
        <v>10</v>
      </c>
      <c r="C10" s="8">
        <v>591427.83</v>
      </c>
      <c r="D10" s="8">
        <v>602846.83</v>
      </c>
      <c r="E10" s="8">
        <v>712451.66</v>
      </c>
      <c r="F10" s="8">
        <v>788445.21</v>
      </c>
      <c r="G10" s="9">
        <f t="shared" si="0"/>
        <v>75993.54999999993</v>
      </c>
      <c r="H10" s="10">
        <f t="shared" si="1"/>
        <v>0.10666485077738456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2.75">
      <c r="A11" s="5"/>
      <c r="B11" s="5" t="s">
        <v>11</v>
      </c>
      <c r="C11" s="8">
        <f>SUM(C9:C10)</f>
        <v>2541384.09</v>
      </c>
      <c r="D11" s="8">
        <f>D10+D9</f>
        <v>2445424.86</v>
      </c>
      <c r="E11" s="8">
        <f aca="true" t="shared" si="2" ref="E11:F11">SUM(E9:E10)</f>
        <v>2734144.2800000003</v>
      </c>
      <c r="F11" s="8">
        <f t="shared" si="2"/>
        <v>2950697.35</v>
      </c>
      <c r="G11" s="9">
        <f t="shared" si="0"/>
        <v>216553.06999999983</v>
      </c>
      <c r="H11" s="10">
        <f t="shared" si="1"/>
        <v>0.07920323429310754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12.75">
      <c r="A13" s="2"/>
      <c r="B13" s="2"/>
      <c r="C13" s="2"/>
      <c r="D13" s="2"/>
      <c r="E13" s="2"/>
      <c r="F13" s="2"/>
      <c r="G13" s="15">
        <f>F11/F305</f>
        <v>0.8685805713143513</v>
      </c>
      <c r="H13" s="2" t="s">
        <v>106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12.75">
      <c r="A15" s="2"/>
      <c r="B15" s="2" t="s">
        <v>65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2.75">
      <c r="A16" s="5"/>
      <c r="B16" s="11" t="s">
        <v>16</v>
      </c>
      <c r="C16" s="12" t="s">
        <v>17</v>
      </c>
      <c r="D16" s="12" t="s">
        <v>18</v>
      </c>
      <c r="E16" s="12" t="s">
        <v>19</v>
      </c>
      <c r="F16" s="12" t="s">
        <v>20</v>
      </c>
      <c r="G16" s="11" t="s">
        <v>7</v>
      </c>
      <c r="H16" s="12" t="s">
        <v>21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2.75">
      <c r="A17" s="5"/>
      <c r="B17" s="5"/>
      <c r="C17" s="5"/>
      <c r="D17" s="5"/>
      <c r="E17" s="5"/>
      <c r="F17" s="5"/>
      <c r="G17" s="5"/>
      <c r="H17" s="5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12.75">
      <c r="A18" s="7">
        <v>100</v>
      </c>
      <c r="B18" s="5" t="s">
        <v>22</v>
      </c>
      <c r="C18" s="8">
        <v>0</v>
      </c>
      <c r="D18" s="8">
        <v>0</v>
      </c>
      <c r="E18" s="8">
        <v>0</v>
      </c>
      <c r="F18" s="8">
        <v>0</v>
      </c>
      <c r="G18" s="8">
        <f aca="true" t="shared" si="3" ref="G18:G29">F18-E18</f>
        <v>0</v>
      </c>
      <c r="H18" s="10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2.75">
      <c r="A19" s="7">
        <v>200</v>
      </c>
      <c r="B19" s="5" t="s">
        <v>10</v>
      </c>
      <c r="C19" s="8">
        <v>0</v>
      </c>
      <c r="D19" s="8">
        <v>0</v>
      </c>
      <c r="E19" s="8">
        <v>0</v>
      </c>
      <c r="F19" s="8">
        <v>0</v>
      </c>
      <c r="G19" s="8">
        <f t="shared" si="3"/>
        <v>0</v>
      </c>
      <c r="H19" s="10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2.75">
      <c r="A20" s="7">
        <v>300</v>
      </c>
      <c r="B20" s="5" t="s">
        <v>23</v>
      </c>
      <c r="C20" s="8">
        <v>0</v>
      </c>
      <c r="D20" s="8">
        <v>0</v>
      </c>
      <c r="E20" s="8">
        <v>0</v>
      </c>
      <c r="F20" s="8">
        <v>0</v>
      </c>
      <c r="G20" s="8">
        <f t="shared" si="3"/>
        <v>0</v>
      </c>
      <c r="H20" s="10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2.75">
      <c r="A21" s="7">
        <v>400</v>
      </c>
      <c r="B21" s="5" t="s">
        <v>24</v>
      </c>
      <c r="C21" s="8">
        <v>0</v>
      </c>
      <c r="D21" s="8">
        <v>0</v>
      </c>
      <c r="E21" s="8">
        <v>0</v>
      </c>
      <c r="F21" s="8">
        <v>0</v>
      </c>
      <c r="G21" s="8">
        <f t="shared" si="3"/>
        <v>0</v>
      </c>
      <c r="H21" s="10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12.75">
      <c r="A22" s="7">
        <v>561</v>
      </c>
      <c r="B22" s="5" t="s">
        <v>25</v>
      </c>
      <c r="C22" s="8">
        <v>0</v>
      </c>
      <c r="D22" s="8">
        <v>0</v>
      </c>
      <c r="E22" s="8">
        <v>0</v>
      </c>
      <c r="F22" s="8">
        <v>0</v>
      </c>
      <c r="G22" s="8">
        <f t="shared" si="3"/>
        <v>0</v>
      </c>
      <c r="H22" s="10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12.75">
      <c r="A23" s="7">
        <v>593</v>
      </c>
      <c r="B23" s="5" t="s">
        <v>26</v>
      </c>
      <c r="C23" s="8">
        <v>0</v>
      </c>
      <c r="D23" s="8">
        <v>0</v>
      </c>
      <c r="E23" s="8">
        <v>0</v>
      </c>
      <c r="F23" s="8">
        <v>0</v>
      </c>
      <c r="G23" s="8">
        <f t="shared" si="3"/>
        <v>0</v>
      </c>
      <c r="H23" s="10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2.75">
      <c r="A24" s="7">
        <v>566</v>
      </c>
      <c r="B24" s="5" t="s">
        <v>27</v>
      </c>
      <c r="C24" s="8">
        <v>0</v>
      </c>
      <c r="D24" s="8">
        <v>0</v>
      </c>
      <c r="E24" s="8">
        <v>0</v>
      </c>
      <c r="F24" s="8">
        <v>0</v>
      </c>
      <c r="G24" s="8">
        <f t="shared" si="3"/>
        <v>0</v>
      </c>
      <c r="H24" s="10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2.75">
      <c r="A25" s="7">
        <v>500</v>
      </c>
      <c r="B25" s="5" t="s">
        <v>28</v>
      </c>
      <c r="C25" s="8">
        <v>0</v>
      </c>
      <c r="D25" s="8">
        <v>0</v>
      </c>
      <c r="E25" s="8">
        <v>0</v>
      </c>
      <c r="F25" s="8">
        <v>0</v>
      </c>
      <c r="G25" s="8">
        <f t="shared" si="3"/>
        <v>0</v>
      </c>
      <c r="H25" s="10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12.75">
      <c r="A26" s="7">
        <v>600</v>
      </c>
      <c r="B26" s="5" t="s">
        <v>29</v>
      </c>
      <c r="C26" s="8">
        <v>0</v>
      </c>
      <c r="D26" s="8">
        <v>0</v>
      </c>
      <c r="E26" s="8">
        <v>0</v>
      </c>
      <c r="F26" s="8">
        <v>0</v>
      </c>
      <c r="G26" s="8">
        <f t="shared" si="3"/>
        <v>0</v>
      </c>
      <c r="H26" s="10">
        <v>0</v>
      </c>
      <c r="I26" s="15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12.75">
      <c r="A27" s="7">
        <v>700</v>
      </c>
      <c r="B27" s="5" t="s">
        <v>30</v>
      </c>
      <c r="C27" s="8">
        <v>0</v>
      </c>
      <c r="D27" s="8">
        <v>0</v>
      </c>
      <c r="E27" s="8">
        <v>0</v>
      </c>
      <c r="F27" s="8">
        <v>0</v>
      </c>
      <c r="G27" s="8">
        <f t="shared" si="3"/>
        <v>0</v>
      </c>
      <c r="H27" s="10">
        <v>0</v>
      </c>
      <c r="I27" s="15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12.75">
      <c r="A28" s="7">
        <v>800</v>
      </c>
      <c r="B28" s="5" t="s">
        <v>31</v>
      </c>
      <c r="C28" s="8">
        <v>24627.39</v>
      </c>
      <c r="D28" s="8">
        <v>23580.05</v>
      </c>
      <c r="E28" s="8">
        <v>22876.39</v>
      </c>
      <c r="F28" s="8">
        <v>23164</v>
      </c>
      <c r="G28" s="8">
        <f t="shared" si="3"/>
        <v>287.6100000000006</v>
      </c>
      <c r="H28" s="10">
        <f>G28/E28</f>
        <v>0.01257235079485883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12.75">
      <c r="A29" s="7">
        <v>900</v>
      </c>
      <c r="B29" s="5" t="s">
        <v>32</v>
      </c>
      <c r="C29" s="8">
        <v>0</v>
      </c>
      <c r="D29" s="8">
        <v>0</v>
      </c>
      <c r="E29" s="8">
        <v>0</v>
      </c>
      <c r="F29" s="8">
        <v>0</v>
      </c>
      <c r="G29" s="8">
        <f t="shared" si="3"/>
        <v>0</v>
      </c>
      <c r="H29" s="10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12.75">
      <c r="A30" s="5"/>
      <c r="B30" s="5"/>
      <c r="C30" s="8">
        <f aca="true" t="shared" si="4" ref="C30:G30">SUM(C18:C29)</f>
        <v>24627.39</v>
      </c>
      <c r="D30" s="8">
        <f t="shared" si="4"/>
        <v>23580.05</v>
      </c>
      <c r="E30" s="8">
        <f t="shared" si="4"/>
        <v>22876.39</v>
      </c>
      <c r="F30" s="8">
        <f t="shared" si="4"/>
        <v>23164</v>
      </c>
      <c r="G30" s="8">
        <f t="shared" si="4"/>
        <v>287.6100000000006</v>
      </c>
      <c r="H30" s="10">
        <f>G30/E30</f>
        <v>0.01257235079485883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2.75">
      <c r="A31" s="2"/>
      <c r="B31" s="2"/>
      <c r="C31" s="14"/>
      <c r="D31" s="14"/>
      <c r="E31" s="14"/>
      <c r="F31" s="14"/>
      <c r="G31" s="14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ht="12.75">
      <c r="A32" s="2"/>
      <c r="B32" s="2"/>
      <c r="C32" s="14"/>
      <c r="D32" s="14"/>
      <c r="E32" s="14"/>
      <c r="F32" s="14"/>
      <c r="G32" s="14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ht="12.75">
      <c r="A33" s="2"/>
      <c r="B33" s="2" t="s">
        <v>66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ht="12.75">
      <c r="A34" s="5"/>
      <c r="B34" s="11" t="s">
        <v>16</v>
      </c>
      <c r="C34" s="12" t="s">
        <v>17</v>
      </c>
      <c r="D34" s="12" t="s">
        <v>18</v>
      </c>
      <c r="E34" s="12" t="s">
        <v>19</v>
      </c>
      <c r="F34" s="12" t="s">
        <v>20</v>
      </c>
      <c r="G34" s="11" t="s">
        <v>7</v>
      </c>
      <c r="H34" s="12" t="s">
        <v>21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ht="12.75">
      <c r="A35" s="5"/>
      <c r="B35" s="5"/>
      <c r="C35" s="5"/>
      <c r="D35" s="5"/>
      <c r="E35" s="5"/>
      <c r="F35" s="5"/>
      <c r="G35" s="5"/>
      <c r="H35" s="5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ht="12.75">
      <c r="A36" s="7">
        <v>100</v>
      </c>
      <c r="B36" s="5" t="s">
        <v>22</v>
      </c>
      <c r="C36" s="8">
        <v>0</v>
      </c>
      <c r="D36" s="8">
        <v>0</v>
      </c>
      <c r="E36" s="8">
        <v>0</v>
      </c>
      <c r="F36" s="8">
        <v>0</v>
      </c>
      <c r="G36" s="8">
        <f aca="true" t="shared" si="5" ref="G36:G47">F36-E36</f>
        <v>0</v>
      </c>
      <c r="H36" s="10">
        <v>0</v>
      </c>
      <c r="I36" s="2" t="s">
        <v>3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ht="12.75">
      <c r="A37" s="7">
        <v>200</v>
      </c>
      <c r="B37" s="5" t="s">
        <v>10</v>
      </c>
      <c r="C37" s="8">
        <v>0</v>
      </c>
      <c r="D37" s="8">
        <v>0</v>
      </c>
      <c r="E37" s="8">
        <v>0</v>
      </c>
      <c r="F37" s="8">
        <v>0</v>
      </c>
      <c r="G37" s="8">
        <f t="shared" si="5"/>
        <v>0</v>
      </c>
      <c r="H37" s="10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ht="12.75">
      <c r="A38" s="7">
        <v>300</v>
      </c>
      <c r="B38" s="5" t="s">
        <v>23</v>
      </c>
      <c r="C38" s="8">
        <v>0</v>
      </c>
      <c r="D38" s="8">
        <v>0</v>
      </c>
      <c r="E38" s="8">
        <v>0</v>
      </c>
      <c r="F38" s="8">
        <v>0</v>
      </c>
      <c r="G38" s="8">
        <f t="shared" si="5"/>
        <v>0</v>
      </c>
      <c r="H38" s="10">
        <v>0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ht="12.75">
      <c r="A39" s="7">
        <v>400</v>
      </c>
      <c r="B39" s="5" t="s">
        <v>24</v>
      </c>
      <c r="C39" s="8">
        <v>0</v>
      </c>
      <c r="D39" s="8">
        <v>0</v>
      </c>
      <c r="E39" s="8">
        <v>0</v>
      </c>
      <c r="F39" s="8">
        <v>0</v>
      </c>
      <c r="G39" s="8">
        <f t="shared" si="5"/>
        <v>0</v>
      </c>
      <c r="H39" s="10">
        <v>0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ht="12.75">
      <c r="A40" s="7">
        <v>561</v>
      </c>
      <c r="B40" s="5" t="s">
        <v>25</v>
      </c>
      <c r="C40" s="8">
        <v>0</v>
      </c>
      <c r="D40" s="8">
        <v>0</v>
      </c>
      <c r="E40" s="8">
        <v>0</v>
      </c>
      <c r="F40" s="8">
        <v>0</v>
      </c>
      <c r="G40" s="8">
        <f t="shared" si="5"/>
        <v>0</v>
      </c>
      <c r="H40" s="10">
        <v>0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ht="12.75">
      <c r="A41" s="7">
        <v>593</v>
      </c>
      <c r="B41" s="5" t="s">
        <v>26</v>
      </c>
      <c r="C41" s="8">
        <v>0</v>
      </c>
      <c r="D41" s="8">
        <v>0</v>
      </c>
      <c r="E41" s="8">
        <v>0</v>
      </c>
      <c r="F41" s="8">
        <v>0</v>
      </c>
      <c r="G41" s="8">
        <f t="shared" si="5"/>
        <v>0</v>
      </c>
      <c r="H41" s="10">
        <v>0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ht="12.75">
      <c r="A42" s="7">
        <v>566</v>
      </c>
      <c r="B42" s="5" t="s">
        <v>27</v>
      </c>
      <c r="C42" s="8">
        <v>0</v>
      </c>
      <c r="D42" s="8">
        <v>0</v>
      </c>
      <c r="E42" s="8">
        <v>0</v>
      </c>
      <c r="F42" s="8">
        <v>0</v>
      </c>
      <c r="G42" s="8">
        <f t="shared" si="5"/>
        <v>0</v>
      </c>
      <c r="H42" s="10">
        <v>0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ht="12.75">
      <c r="A43" s="7">
        <v>500</v>
      </c>
      <c r="B43" s="5" t="s">
        <v>28</v>
      </c>
      <c r="C43" s="8">
        <v>0</v>
      </c>
      <c r="D43" s="8">
        <v>0</v>
      </c>
      <c r="E43" s="8">
        <v>0</v>
      </c>
      <c r="F43" s="8">
        <v>0</v>
      </c>
      <c r="G43" s="8">
        <f t="shared" si="5"/>
        <v>0</v>
      </c>
      <c r="H43" s="10">
        <v>0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ht="12.75">
      <c r="A44" s="7">
        <v>600</v>
      </c>
      <c r="B44" s="5" t="s">
        <v>29</v>
      </c>
      <c r="C44" s="8">
        <v>0</v>
      </c>
      <c r="D44" s="8">
        <v>0</v>
      </c>
      <c r="E44" s="8">
        <v>0</v>
      </c>
      <c r="F44" s="8">
        <v>0</v>
      </c>
      <c r="G44" s="8">
        <f t="shared" si="5"/>
        <v>0</v>
      </c>
      <c r="H44" s="10">
        <v>0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ht="12.75">
      <c r="A45" s="7">
        <v>700</v>
      </c>
      <c r="B45" s="5" t="s">
        <v>30</v>
      </c>
      <c r="C45" s="8">
        <v>0</v>
      </c>
      <c r="D45" s="8">
        <v>0</v>
      </c>
      <c r="E45" s="8">
        <v>0</v>
      </c>
      <c r="F45" s="8">
        <v>0</v>
      </c>
      <c r="G45" s="8">
        <f t="shared" si="5"/>
        <v>0</v>
      </c>
      <c r="H45" s="10">
        <v>0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ht="12.75">
      <c r="A46" s="7">
        <v>800</v>
      </c>
      <c r="B46" s="5" t="s">
        <v>31</v>
      </c>
      <c r="C46" s="8">
        <v>0</v>
      </c>
      <c r="D46" s="8">
        <v>0</v>
      </c>
      <c r="E46" s="8">
        <v>0</v>
      </c>
      <c r="F46" s="8">
        <v>0</v>
      </c>
      <c r="G46" s="8">
        <f t="shared" si="5"/>
        <v>0</v>
      </c>
      <c r="H46" s="10">
        <v>0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ht="12.75">
      <c r="A47" s="7">
        <v>900</v>
      </c>
      <c r="B47" s="5" t="s">
        <v>32</v>
      </c>
      <c r="C47" s="8">
        <v>0</v>
      </c>
      <c r="D47" s="8">
        <v>0</v>
      </c>
      <c r="E47" s="8">
        <v>0</v>
      </c>
      <c r="F47" s="8">
        <v>0</v>
      </c>
      <c r="G47" s="8">
        <f t="shared" si="5"/>
        <v>0</v>
      </c>
      <c r="H47" s="10">
        <v>0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ht="12.75">
      <c r="A48" s="5"/>
      <c r="B48" s="5"/>
      <c r="C48" s="8">
        <f>SUM(C36:C47)</f>
        <v>0</v>
      </c>
      <c r="D48" s="8">
        <v>0</v>
      </c>
      <c r="E48" s="8">
        <f aca="true" t="shared" si="6" ref="E48:G48">SUM(E36:E47)</f>
        <v>0</v>
      </c>
      <c r="F48" s="8">
        <f t="shared" si="6"/>
        <v>0</v>
      </c>
      <c r="G48" s="8">
        <f t="shared" si="6"/>
        <v>0</v>
      </c>
      <c r="H48" s="10">
        <v>0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ht="12.75">
      <c r="A51" s="2"/>
      <c r="B51" s="2" t="s">
        <v>68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ht="12.75">
      <c r="A52" s="5"/>
      <c r="B52" s="11" t="s">
        <v>16</v>
      </c>
      <c r="C52" s="12" t="s">
        <v>17</v>
      </c>
      <c r="D52" s="12" t="s">
        <v>18</v>
      </c>
      <c r="E52" s="12" t="s">
        <v>19</v>
      </c>
      <c r="F52" s="12" t="s">
        <v>20</v>
      </c>
      <c r="G52" s="11" t="s">
        <v>7</v>
      </c>
      <c r="H52" s="12" t="s">
        <v>21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ht="12.75">
      <c r="A53" s="5"/>
      <c r="B53" s="5"/>
      <c r="C53" s="5"/>
      <c r="D53" s="5"/>
      <c r="E53" s="5"/>
      <c r="F53" s="5"/>
      <c r="G53" s="5"/>
      <c r="H53" s="5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ht="12.75">
      <c r="A54" s="7">
        <v>100</v>
      </c>
      <c r="B54" s="5" t="s">
        <v>22</v>
      </c>
      <c r="C54" s="8">
        <v>1001854.38</v>
      </c>
      <c r="D54" s="8">
        <v>1174231.04</v>
      </c>
      <c r="E54" s="8">
        <v>1131549.6</v>
      </c>
      <c r="F54" s="8">
        <f>1115468.98+50000</f>
        <v>1165468.98</v>
      </c>
      <c r="G54" s="8">
        <f aca="true" t="shared" si="7" ref="G54:G65">F54-E54</f>
        <v>33919.37999999989</v>
      </c>
      <c r="H54" s="10">
        <f aca="true" t="shared" si="8" ref="H54:H58">G54/E54</f>
        <v>0.029976043471713378</v>
      </c>
      <c r="I54" s="2" t="s">
        <v>107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ht="12.75">
      <c r="A55" s="7">
        <v>200</v>
      </c>
      <c r="B55" s="5" t="s">
        <v>10</v>
      </c>
      <c r="C55" s="8">
        <v>359903.76</v>
      </c>
      <c r="D55" s="8">
        <v>417652.79</v>
      </c>
      <c r="E55" s="8">
        <v>432066.6</v>
      </c>
      <c r="F55" s="8">
        <f>474817.15+7605</f>
        <v>482422.15</v>
      </c>
      <c r="G55" s="8">
        <f t="shared" si="7"/>
        <v>50355.55000000005</v>
      </c>
      <c r="H55" s="10">
        <f t="shared" si="8"/>
        <v>0.11654580566977417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 ht="12.75">
      <c r="A56" s="7">
        <v>300</v>
      </c>
      <c r="B56" s="5" t="s">
        <v>23</v>
      </c>
      <c r="C56" s="8">
        <v>18595</v>
      </c>
      <c r="D56" s="8">
        <v>10912.5</v>
      </c>
      <c r="E56" s="8">
        <v>11000</v>
      </c>
      <c r="F56" s="8">
        <v>12500</v>
      </c>
      <c r="G56" s="8">
        <f t="shared" si="7"/>
        <v>1500</v>
      </c>
      <c r="H56" s="10">
        <f t="shared" si="8"/>
        <v>0.13636363636363635</v>
      </c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ht="12.75">
      <c r="A57" s="7">
        <v>400</v>
      </c>
      <c r="B57" s="5" t="s">
        <v>24</v>
      </c>
      <c r="C57" s="8">
        <v>773.35</v>
      </c>
      <c r="D57" s="8">
        <v>2190.41</v>
      </c>
      <c r="E57" s="8">
        <v>2500</v>
      </c>
      <c r="F57" s="8">
        <v>2500</v>
      </c>
      <c r="G57" s="8">
        <f t="shared" si="7"/>
        <v>0</v>
      </c>
      <c r="H57" s="10">
        <f t="shared" si="8"/>
        <v>0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 ht="12.75">
      <c r="A58" s="7">
        <v>561</v>
      </c>
      <c r="B58" s="5" t="s">
        <v>25</v>
      </c>
      <c r="C58" s="8">
        <v>71600</v>
      </c>
      <c r="D58" s="8">
        <v>56700</v>
      </c>
      <c r="E58" s="8">
        <v>56100</v>
      </c>
      <c r="F58" s="8">
        <v>18900</v>
      </c>
      <c r="G58" s="8">
        <f t="shared" si="7"/>
        <v>-37200</v>
      </c>
      <c r="H58" s="10">
        <f t="shared" si="8"/>
        <v>-0.6631016042780749</v>
      </c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 ht="12.75">
      <c r="A59" s="7">
        <v>593</v>
      </c>
      <c r="B59" s="5" t="s">
        <v>26</v>
      </c>
      <c r="C59" s="8">
        <v>0</v>
      </c>
      <c r="D59" s="8">
        <v>0</v>
      </c>
      <c r="E59" s="8">
        <v>0</v>
      </c>
      <c r="F59" s="8">
        <v>0</v>
      </c>
      <c r="G59" s="8">
        <f t="shared" si="7"/>
        <v>0</v>
      </c>
      <c r="H59" s="10">
        <v>0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 ht="12.75">
      <c r="A60" s="7">
        <v>566</v>
      </c>
      <c r="B60" s="5" t="s">
        <v>27</v>
      </c>
      <c r="C60" s="8">
        <v>0</v>
      </c>
      <c r="D60" s="8">
        <v>0</v>
      </c>
      <c r="E60" s="8">
        <v>0</v>
      </c>
      <c r="F60" s="8">
        <v>0</v>
      </c>
      <c r="G60" s="8">
        <f t="shared" si="7"/>
        <v>0</v>
      </c>
      <c r="H60" s="10">
        <v>0</v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ht="12.75">
      <c r="A61" s="7">
        <v>500</v>
      </c>
      <c r="B61" s="5" t="s">
        <v>28</v>
      </c>
      <c r="C61" s="8">
        <v>1365.99</v>
      </c>
      <c r="D61" s="8">
        <v>0</v>
      </c>
      <c r="E61" s="8">
        <v>1500</v>
      </c>
      <c r="F61" s="8">
        <v>1500</v>
      </c>
      <c r="G61" s="8">
        <f t="shared" si="7"/>
        <v>0</v>
      </c>
      <c r="H61" s="10">
        <f aca="true" t="shared" si="9" ref="H61:H63">G61/E61</f>
        <v>0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ht="12.75">
      <c r="A62" s="7">
        <v>600</v>
      </c>
      <c r="B62" s="5" t="s">
        <v>29</v>
      </c>
      <c r="C62" s="8">
        <v>30494.81</v>
      </c>
      <c r="D62" s="8">
        <v>31185.2</v>
      </c>
      <c r="E62" s="8">
        <v>45933</v>
      </c>
      <c r="F62" s="8">
        <v>40484</v>
      </c>
      <c r="G62" s="8">
        <f t="shared" si="7"/>
        <v>-5449</v>
      </c>
      <c r="H62" s="10">
        <f t="shared" si="9"/>
        <v>-0.11862930790499206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ht="12.75">
      <c r="A63" s="7">
        <v>700</v>
      </c>
      <c r="B63" s="5" t="s">
        <v>30</v>
      </c>
      <c r="C63" s="8">
        <v>1333</v>
      </c>
      <c r="D63" s="8">
        <v>1483.89</v>
      </c>
      <c r="E63" s="8">
        <v>3598</v>
      </c>
      <c r="F63" s="8">
        <v>5098</v>
      </c>
      <c r="G63" s="8">
        <f t="shared" si="7"/>
        <v>1500</v>
      </c>
      <c r="H63" s="10">
        <f t="shared" si="9"/>
        <v>0.4168982768204558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ht="12.75">
      <c r="A64" s="7">
        <v>800</v>
      </c>
      <c r="B64" s="5" t="s">
        <v>31</v>
      </c>
      <c r="C64" s="8">
        <v>0</v>
      </c>
      <c r="D64" s="8">
        <v>0</v>
      </c>
      <c r="E64" s="8">
        <v>0</v>
      </c>
      <c r="F64" s="8">
        <v>0</v>
      </c>
      <c r="G64" s="8">
        <f t="shared" si="7"/>
        <v>0</v>
      </c>
      <c r="H64" s="10">
        <v>0</v>
      </c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ht="12.75">
      <c r="A65" s="7">
        <v>900</v>
      </c>
      <c r="B65" s="5" t="s">
        <v>32</v>
      </c>
      <c r="C65" s="8">
        <v>0</v>
      </c>
      <c r="D65" s="8">
        <v>0</v>
      </c>
      <c r="E65" s="8">
        <v>0</v>
      </c>
      <c r="F65" s="8">
        <v>0</v>
      </c>
      <c r="G65" s="8">
        <f t="shared" si="7"/>
        <v>0</v>
      </c>
      <c r="H65" s="10">
        <v>0</v>
      </c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 ht="12.75">
      <c r="A66" s="5"/>
      <c r="B66" s="5"/>
      <c r="C66" s="8">
        <f aca="true" t="shared" si="10" ref="C66:G66">SUM(C54:C65)</f>
        <v>1485920.29</v>
      </c>
      <c r="D66" s="8">
        <f t="shared" si="10"/>
        <v>1694355.83</v>
      </c>
      <c r="E66" s="8">
        <f t="shared" si="10"/>
        <v>1684247.2000000002</v>
      </c>
      <c r="F66" s="8">
        <f t="shared" si="10"/>
        <v>1728873.13</v>
      </c>
      <c r="G66" s="8">
        <f t="shared" si="10"/>
        <v>44625.929999999935</v>
      </c>
      <c r="H66" s="10">
        <f>G66/E66</f>
        <v>0.026496068985597795</v>
      </c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28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 ht="12.75">
      <c r="A69" s="2"/>
      <c r="B69" s="2" t="s">
        <v>70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28" ht="12.75">
      <c r="A70" s="5"/>
      <c r="B70" s="11" t="s">
        <v>16</v>
      </c>
      <c r="C70" s="12" t="s">
        <v>17</v>
      </c>
      <c r="D70" s="12" t="s">
        <v>18</v>
      </c>
      <c r="E70" s="12" t="s">
        <v>19</v>
      </c>
      <c r="F70" s="12" t="s">
        <v>20</v>
      </c>
      <c r="G70" s="11" t="s">
        <v>7</v>
      </c>
      <c r="H70" s="12" t="s">
        <v>21</v>
      </c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:28" ht="12.75">
      <c r="A71" s="5"/>
      <c r="B71" s="5"/>
      <c r="C71" s="5"/>
      <c r="D71" s="5"/>
      <c r="E71" s="5"/>
      <c r="F71" s="5"/>
      <c r="G71" s="5"/>
      <c r="H71" s="5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 ht="12.75">
      <c r="A72" s="7">
        <v>100</v>
      </c>
      <c r="B72" s="5" t="s">
        <v>22</v>
      </c>
      <c r="C72" s="8">
        <v>0</v>
      </c>
      <c r="D72" s="8">
        <v>0</v>
      </c>
      <c r="E72" s="8">
        <v>0</v>
      </c>
      <c r="F72" s="8">
        <v>0</v>
      </c>
      <c r="G72" s="8">
        <f aca="true" t="shared" si="11" ref="G72:G83">F72-E72</f>
        <v>0</v>
      </c>
      <c r="H72" s="10">
        <v>0</v>
      </c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 ht="12.75">
      <c r="A73" s="7">
        <v>200</v>
      </c>
      <c r="B73" s="5" t="s">
        <v>10</v>
      </c>
      <c r="C73" s="8">
        <v>0</v>
      </c>
      <c r="D73" s="8">
        <v>0</v>
      </c>
      <c r="E73" s="8">
        <v>0</v>
      </c>
      <c r="F73" s="8">
        <v>0</v>
      </c>
      <c r="G73" s="8">
        <f t="shared" si="11"/>
        <v>0</v>
      </c>
      <c r="H73" s="10">
        <v>0</v>
      </c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 ht="12.75">
      <c r="A74" s="7">
        <v>300</v>
      </c>
      <c r="B74" s="5" t="s">
        <v>23</v>
      </c>
      <c r="C74" s="8">
        <v>0</v>
      </c>
      <c r="D74" s="8">
        <v>0</v>
      </c>
      <c r="E74" s="8">
        <v>0</v>
      </c>
      <c r="F74" s="8">
        <v>0</v>
      </c>
      <c r="G74" s="8">
        <f t="shared" si="11"/>
        <v>0</v>
      </c>
      <c r="H74" s="10">
        <v>0</v>
      </c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 ht="12.75">
      <c r="A75" s="7">
        <v>400</v>
      </c>
      <c r="B75" s="5" t="s">
        <v>24</v>
      </c>
      <c r="C75" s="8">
        <v>0</v>
      </c>
      <c r="D75" s="8">
        <v>0</v>
      </c>
      <c r="E75" s="8">
        <v>0</v>
      </c>
      <c r="F75" s="8">
        <v>0</v>
      </c>
      <c r="G75" s="8">
        <f t="shared" si="11"/>
        <v>0</v>
      </c>
      <c r="H75" s="10">
        <v>0</v>
      </c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8" ht="12.75">
      <c r="A76" s="7">
        <v>561</v>
      </c>
      <c r="B76" s="5" t="s">
        <v>25</v>
      </c>
      <c r="C76" s="8">
        <v>0</v>
      </c>
      <c r="D76" s="8">
        <v>0</v>
      </c>
      <c r="E76" s="8">
        <v>0</v>
      </c>
      <c r="F76" s="8">
        <v>0</v>
      </c>
      <c r="G76" s="8">
        <f t="shared" si="11"/>
        <v>0</v>
      </c>
      <c r="H76" s="10">
        <v>0</v>
      </c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:28" ht="12.75">
      <c r="A77" s="7">
        <v>593</v>
      </c>
      <c r="B77" s="5" t="s">
        <v>26</v>
      </c>
      <c r="C77" s="8">
        <v>0</v>
      </c>
      <c r="D77" s="8">
        <v>0</v>
      </c>
      <c r="E77" s="8">
        <v>0</v>
      </c>
      <c r="F77" s="8">
        <v>0</v>
      </c>
      <c r="G77" s="8">
        <f t="shared" si="11"/>
        <v>0</v>
      </c>
      <c r="H77" s="10">
        <v>0</v>
      </c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28" ht="12.75">
      <c r="A78" s="7">
        <v>566</v>
      </c>
      <c r="B78" s="5" t="s">
        <v>27</v>
      </c>
      <c r="C78" s="8">
        <v>0</v>
      </c>
      <c r="D78" s="8">
        <v>0</v>
      </c>
      <c r="E78" s="8">
        <v>0</v>
      </c>
      <c r="F78" s="8">
        <v>0</v>
      </c>
      <c r="G78" s="8">
        <f t="shared" si="11"/>
        <v>0</v>
      </c>
      <c r="H78" s="10">
        <v>0</v>
      </c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1:28" ht="12.75">
      <c r="A79" s="7">
        <v>500</v>
      </c>
      <c r="B79" s="5" t="s">
        <v>28</v>
      </c>
      <c r="C79" s="8">
        <v>0</v>
      </c>
      <c r="D79" s="8">
        <v>0</v>
      </c>
      <c r="E79" s="8">
        <v>0</v>
      </c>
      <c r="F79" s="8">
        <v>0</v>
      </c>
      <c r="G79" s="8">
        <f t="shared" si="11"/>
        <v>0</v>
      </c>
      <c r="H79" s="10">
        <v>0</v>
      </c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1:28" ht="12.75">
      <c r="A80" s="7">
        <v>600</v>
      </c>
      <c r="B80" s="5" t="s">
        <v>29</v>
      </c>
      <c r="C80" s="8">
        <v>0</v>
      </c>
      <c r="D80" s="8">
        <v>0</v>
      </c>
      <c r="E80" s="8">
        <v>0</v>
      </c>
      <c r="F80" s="8">
        <v>0</v>
      </c>
      <c r="G80" s="8">
        <f t="shared" si="11"/>
        <v>0</v>
      </c>
      <c r="H80" s="10">
        <v>0</v>
      </c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spans="1:28" ht="12.75">
      <c r="A81" s="7">
        <v>700</v>
      </c>
      <c r="B81" s="5" t="s">
        <v>30</v>
      </c>
      <c r="C81" s="8">
        <v>0</v>
      </c>
      <c r="D81" s="8">
        <v>0</v>
      </c>
      <c r="E81" s="8">
        <v>0</v>
      </c>
      <c r="F81" s="8">
        <v>0</v>
      </c>
      <c r="G81" s="8">
        <f t="shared" si="11"/>
        <v>0</v>
      </c>
      <c r="H81" s="10">
        <v>0</v>
      </c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1:28" ht="12.75">
      <c r="A82" s="7">
        <v>800</v>
      </c>
      <c r="B82" s="5" t="s">
        <v>31</v>
      </c>
      <c r="C82" s="8">
        <v>0</v>
      </c>
      <c r="D82" s="8">
        <v>0</v>
      </c>
      <c r="E82" s="8">
        <v>0</v>
      </c>
      <c r="F82" s="8">
        <v>0</v>
      </c>
      <c r="G82" s="8">
        <f t="shared" si="11"/>
        <v>0</v>
      </c>
      <c r="H82" s="10">
        <v>0</v>
      </c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1:28" ht="12.75">
      <c r="A83" s="7">
        <v>900</v>
      </c>
      <c r="B83" s="5" t="s">
        <v>32</v>
      </c>
      <c r="C83" s="8">
        <v>0</v>
      </c>
      <c r="D83" s="8">
        <v>0</v>
      </c>
      <c r="E83" s="8">
        <v>0</v>
      </c>
      <c r="F83" s="8">
        <v>0</v>
      </c>
      <c r="G83" s="8">
        <f t="shared" si="11"/>
        <v>0</v>
      </c>
      <c r="H83" s="10">
        <v>0</v>
      </c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1:28" ht="12.75">
      <c r="A84" s="5"/>
      <c r="B84" s="5"/>
      <c r="C84" s="8">
        <v>0</v>
      </c>
      <c r="D84" s="8">
        <v>0</v>
      </c>
      <c r="E84" s="8">
        <v>0</v>
      </c>
      <c r="F84" s="8">
        <v>0</v>
      </c>
      <c r="G84" s="8">
        <f>SUM(G72:G83)</f>
        <v>0</v>
      </c>
      <c r="H84" s="10">
        <v>0</v>
      </c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1:28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1:28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1:28" ht="12.75">
      <c r="A87" s="2"/>
      <c r="B87" s="2" t="s">
        <v>72</v>
      </c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1:28" ht="12.75">
      <c r="A88" s="5"/>
      <c r="B88" s="11" t="s">
        <v>16</v>
      </c>
      <c r="C88" s="12" t="s">
        <v>17</v>
      </c>
      <c r="D88" s="12" t="s">
        <v>18</v>
      </c>
      <c r="E88" s="12" t="s">
        <v>19</v>
      </c>
      <c r="F88" s="12" t="s">
        <v>20</v>
      </c>
      <c r="G88" s="11" t="s">
        <v>7</v>
      </c>
      <c r="H88" s="12" t="s">
        <v>21</v>
      </c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pans="1:28" ht="12.75">
      <c r="A89" s="5"/>
      <c r="B89" s="5"/>
      <c r="C89" s="5"/>
      <c r="D89" s="5"/>
      <c r="E89" s="5"/>
      <c r="F89" s="5"/>
      <c r="G89" s="5"/>
      <c r="H89" s="5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1:28" ht="12.75">
      <c r="A90" s="7">
        <v>100</v>
      </c>
      <c r="B90" s="5" t="s">
        <v>22</v>
      </c>
      <c r="C90" s="8">
        <v>62082.66</v>
      </c>
      <c r="D90" s="8">
        <v>500</v>
      </c>
      <c r="E90" s="8">
        <v>63383</v>
      </c>
      <c r="F90" s="8">
        <v>63383</v>
      </c>
      <c r="G90" s="8">
        <f aca="true" t="shared" si="12" ref="G90:G101">F90-E90</f>
        <v>0</v>
      </c>
      <c r="H90" s="10">
        <f aca="true" t="shared" si="13" ref="H90:H91">G90/E90</f>
        <v>0</v>
      </c>
      <c r="I90" s="2" t="s">
        <v>108</v>
      </c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spans="1:28" ht="12.75">
      <c r="A91" s="7">
        <v>200</v>
      </c>
      <c r="B91" s="5" t="s">
        <v>10</v>
      </c>
      <c r="C91" s="8">
        <v>19805.72</v>
      </c>
      <c r="D91" s="8">
        <v>5519.14</v>
      </c>
      <c r="E91" s="8">
        <v>24126.22</v>
      </c>
      <c r="F91" s="8">
        <v>24935.91</v>
      </c>
      <c r="G91" s="8">
        <f t="shared" si="12"/>
        <v>809.6899999999987</v>
      </c>
      <c r="H91" s="10">
        <f t="shared" si="13"/>
        <v>0.033560582635821054</v>
      </c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pans="1:28" ht="12.75">
      <c r="A92" s="7">
        <v>300</v>
      </c>
      <c r="B92" s="5" t="s">
        <v>23</v>
      </c>
      <c r="C92" s="8">
        <v>0</v>
      </c>
      <c r="D92" s="8">
        <v>16078.34</v>
      </c>
      <c r="E92" s="8">
        <v>2000</v>
      </c>
      <c r="F92" s="8">
        <v>2000</v>
      </c>
      <c r="G92" s="8">
        <f t="shared" si="12"/>
        <v>0</v>
      </c>
      <c r="H92" s="10">
        <v>0</v>
      </c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spans="1:28" ht="12.75">
      <c r="A93" s="7">
        <v>400</v>
      </c>
      <c r="B93" s="5" t="s">
        <v>24</v>
      </c>
      <c r="C93" s="8">
        <v>0</v>
      </c>
      <c r="D93" s="8">
        <v>0</v>
      </c>
      <c r="E93" s="8">
        <v>0</v>
      </c>
      <c r="F93" s="8">
        <v>0</v>
      </c>
      <c r="G93" s="8">
        <f t="shared" si="12"/>
        <v>0</v>
      </c>
      <c r="H93" s="10">
        <v>0</v>
      </c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1:28" ht="12.75">
      <c r="A94" s="7">
        <v>561</v>
      </c>
      <c r="B94" s="5" t="s">
        <v>25</v>
      </c>
      <c r="C94" s="8">
        <v>0</v>
      </c>
      <c r="D94" s="8">
        <v>0</v>
      </c>
      <c r="E94" s="8">
        <v>0</v>
      </c>
      <c r="F94" s="8">
        <v>0</v>
      </c>
      <c r="G94" s="8">
        <f t="shared" si="12"/>
        <v>0</v>
      </c>
      <c r="H94" s="10">
        <v>0</v>
      </c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1:28" ht="12.75">
      <c r="A95" s="7">
        <v>593</v>
      </c>
      <c r="B95" s="5" t="s">
        <v>26</v>
      </c>
      <c r="C95" s="8">
        <v>0</v>
      </c>
      <c r="D95" s="8">
        <v>0</v>
      </c>
      <c r="E95" s="8">
        <v>0</v>
      </c>
      <c r="F95" s="8">
        <v>0</v>
      </c>
      <c r="G95" s="8">
        <f t="shared" si="12"/>
        <v>0</v>
      </c>
      <c r="H95" s="10">
        <v>0</v>
      </c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1:28" ht="12.75">
      <c r="A96" s="7">
        <v>566</v>
      </c>
      <c r="B96" s="5" t="s">
        <v>27</v>
      </c>
      <c r="C96" s="8">
        <v>0</v>
      </c>
      <c r="D96" s="8">
        <v>0</v>
      </c>
      <c r="E96" s="8">
        <v>0</v>
      </c>
      <c r="F96" s="8">
        <v>0</v>
      </c>
      <c r="G96" s="8">
        <f t="shared" si="12"/>
        <v>0</v>
      </c>
      <c r="H96" s="10">
        <v>0</v>
      </c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1:28" ht="12.75">
      <c r="A97" s="7">
        <v>500</v>
      </c>
      <c r="B97" s="5" t="s">
        <v>28</v>
      </c>
      <c r="C97" s="8">
        <v>0</v>
      </c>
      <c r="D97" s="8">
        <v>0</v>
      </c>
      <c r="E97" s="8">
        <v>0</v>
      </c>
      <c r="F97" s="8">
        <v>0</v>
      </c>
      <c r="G97" s="8">
        <f t="shared" si="12"/>
        <v>0</v>
      </c>
      <c r="H97" s="10">
        <v>0</v>
      </c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1:28" ht="12.75">
      <c r="A98" s="7">
        <v>600</v>
      </c>
      <c r="B98" s="5" t="s">
        <v>29</v>
      </c>
      <c r="C98" s="8">
        <v>6321.78</v>
      </c>
      <c r="D98" s="8">
        <v>11114.04</v>
      </c>
      <c r="E98" s="8">
        <v>11225</v>
      </c>
      <c r="F98" s="8">
        <v>11225</v>
      </c>
      <c r="G98" s="8">
        <f t="shared" si="12"/>
        <v>0</v>
      </c>
      <c r="H98" s="10">
        <f>G98/E98</f>
        <v>0</v>
      </c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1:28" ht="12.75">
      <c r="A99" s="7">
        <v>700</v>
      </c>
      <c r="B99" s="5" t="s">
        <v>30</v>
      </c>
      <c r="C99" s="8">
        <v>4485.87</v>
      </c>
      <c r="D99" s="8">
        <v>1236.43</v>
      </c>
      <c r="E99" s="8">
        <v>1450</v>
      </c>
      <c r="F99" s="8">
        <v>1450</v>
      </c>
      <c r="G99" s="8">
        <f t="shared" si="12"/>
        <v>0</v>
      </c>
      <c r="H99" s="10">
        <v>0</v>
      </c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1:28" ht="12.75">
      <c r="A100" s="7">
        <v>800</v>
      </c>
      <c r="B100" s="5" t="s">
        <v>31</v>
      </c>
      <c r="C100" s="8">
        <v>219.89</v>
      </c>
      <c r="D100" s="8">
        <v>15</v>
      </c>
      <c r="E100" s="8">
        <v>250</v>
      </c>
      <c r="F100" s="8">
        <v>250</v>
      </c>
      <c r="G100" s="8">
        <f t="shared" si="12"/>
        <v>0</v>
      </c>
      <c r="H100" s="10">
        <f>G100/E100</f>
        <v>0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1:28" ht="12.75">
      <c r="A101" s="7">
        <v>900</v>
      </c>
      <c r="B101" s="5" t="s">
        <v>32</v>
      </c>
      <c r="C101" s="8">
        <v>0</v>
      </c>
      <c r="D101" s="8"/>
      <c r="E101" s="8">
        <v>0</v>
      </c>
      <c r="F101" s="8">
        <v>0</v>
      </c>
      <c r="G101" s="8">
        <f t="shared" si="12"/>
        <v>0</v>
      </c>
      <c r="H101" s="10">
        <v>0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1:28" ht="12.75">
      <c r="A102" s="5"/>
      <c r="B102" s="5"/>
      <c r="C102" s="8">
        <f aca="true" t="shared" si="14" ref="C102:G102">SUM(C90:C101)</f>
        <v>92915.92</v>
      </c>
      <c r="D102" s="8">
        <f t="shared" si="14"/>
        <v>34462.95</v>
      </c>
      <c r="E102" s="8">
        <f t="shared" si="14"/>
        <v>102434.22</v>
      </c>
      <c r="F102" s="8">
        <f t="shared" si="14"/>
        <v>103243.91</v>
      </c>
      <c r="G102" s="8">
        <f t="shared" si="14"/>
        <v>809.6899999999987</v>
      </c>
      <c r="H102" s="10">
        <f>G102/E102</f>
        <v>0.00790448738712511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1:28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1:28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1:28" ht="12.75">
      <c r="A105" s="2"/>
      <c r="B105" s="2" t="s">
        <v>74</v>
      </c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1:28" ht="12.75">
      <c r="A106" s="5"/>
      <c r="B106" s="11" t="s">
        <v>16</v>
      </c>
      <c r="C106" s="12" t="s">
        <v>17</v>
      </c>
      <c r="D106" s="12" t="s">
        <v>18</v>
      </c>
      <c r="E106" s="12" t="s">
        <v>19</v>
      </c>
      <c r="F106" s="12" t="s">
        <v>20</v>
      </c>
      <c r="G106" s="11" t="s">
        <v>7</v>
      </c>
      <c r="H106" s="12" t="s">
        <v>21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1:28" ht="12.75">
      <c r="A107" s="5"/>
      <c r="B107" s="5"/>
      <c r="C107" s="5"/>
      <c r="D107" s="5"/>
      <c r="E107" s="5"/>
      <c r="F107" s="5"/>
      <c r="G107" s="5"/>
      <c r="H107" s="5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1:28" ht="12.75">
      <c r="A108" s="7">
        <v>100</v>
      </c>
      <c r="B108" s="5" t="s">
        <v>22</v>
      </c>
      <c r="C108" s="8">
        <v>46735</v>
      </c>
      <c r="D108" s="8">
        <v>48135</v>
      </c>
      <c r="E108" s="8">
        <v>49825</v>
      </c>
      <c r="F108" s="8">
        <v>49825</v>
      </c>
      <c r="G108" s="8">
        <f aca="true" t="shared" si="15" ref="G108:G119">F108-E108</f>
        <v>0</v>
      </c>
      <c r="H108" s="10">
        <f aca="true" t="shared" si="16" ref="H108:H110">G108/E108</f>
        <v>0</v>
      </c>
      <c r="I108" s="2" t="s">
        <v>108</v>
      </c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1:28" ht="12.75">
      <c r="A109" s="7">
        <v>200</v>
      </c>
      <c r="B109" s="5" t="s">
        <v>10</v>
      </c>
      <c r="C109" s="8">
        <v>12728.07</v>
      </c>
      <c r="D109" s="8">
        <v>14570</v>
      </c>
      <c r="E109" s="8">
        <v>15415.57</v>
      </c>
      <c r="F109" s="8">
        <v>15975.74</v>
      </c>
      <c r="G109" s="8">
        <f t="shared" si="15"/>
        <v>560.1700000000001</v>
      </c>
      <c r="H109" s="10">
        <f t="shared" si="16"/>
        <v>0.03633793625535741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ht="12.75">
      <c r="A110" s="7">
        <v>300</v>
      </c>
      <c r="B110" s="5" t="s">
        <v>23</v>
      </c>
      <c r="C110" s="8">
        <v>0</v>
      </c>
      <c r="D110" s="8">
        <v>25144.98</v>
      </c>
      <c r="E110" s="8">
        <v>5000</v>
      </c>
      <c r="F110" s="8">
        <v>10000</v>
      </c>
      <c r="G110" s="8">
        <f t="shared" si="15"/>
        <v>5000</v>
      </c>
      <c r="H110" s="10">
        <f t="shared" si="16"/>
        <v>1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ht="12.75">
      <c r="A111" s="7">
        <v>400</v>
      </c>
      <c r="B111" s="5" t="s">
        <v>24</v>
      </c>
      <c r="C111" s="8">
        <v>0</v>
      </c>
      <c r="D111" s="8"/>
      <c r="E111" s="8">
        <v>0</v>
      </c>
      <c r="F111" s="8">
        <v>0</v>
      </c>
      <c r="G111" s="8">
        <f t="shared" si="15"/>
        <v>0</v>
      </c>
      <c r="H111" s="10">
        <v>0</v>
      </c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ht="12.75">
      <c r="A112" s="7">
        <v>561</v>
      </c>
      <c r="B112" s="5" t="s">
        <v>25</v>
      </c>
      <c r="C112" s="8">
        <v>0</v>
      </c>
      <c r="D112" s="8"/>
      <c r="E112" s="8">
        <v>0</v>
      </c>
      <c r="F112" s="8">
        <v>0</v>
      </c>
      <c r="G112" s="8">
        <f t="shared" si="15"/>
        <v>0</v>
      </c>
      <c r="H112" s="10">
        <v>0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ht="12.75">
      <c r="A113" s="7">
        <v>593</v>
      </c>
      <c r="B113" s="5" t="s">
        <v>26</v>
      </c>
      <c r="C113" s="8">
        <v>0</v>
      </c>
      <c r="D113" s="8"/>
      <c r="E113" s="8">
        <v>0</v>
      </c>
      <c r="F113" s="8">
        <v>0</v>
      </c>
      <c r="G113" s="8">
        <f t="shared" si="15"/>
        <v>0</v>
      </c>
      <c r="H113" s="10">
        <v>0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ht="12.75">
      <c r="A114" s="7">
        <v>566</v>
      </c>
      <c r="B114" s="5" t="s">
        <v>27</v>
      </c>
      <c r="C114" s="8">
        <v>0</v>
      </c>
      <c r="D114" s="8"/>
      <c r="E114" s="8">
        <v>0</v>
      </c>
      <c r="F114" s="8">
        <v>0</v>
      </c>
      <c r="G114" s="8">
        <f t="shared" si="15"/>
        <v>0</v>
      </c>
      <c r="H114" s="10">
        <v>0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ht="12.75">
      <c r="A115" s="7">
        <v>500</v>
      </c>
      <c r="B115" s="5" t="s">
        <v>28</v>
      </c>
      <c r="C115" s="8">
        <v>0</v>
      </c>
      <c r="D115" s="8"/>
      <c r="E115" s="8">
        <v>0</v>
      </c>
      <c r="F115" s="8">
        <v>0</v>
      </c>
      <c r="G115" s="8">
        <f t="shared" si="15"/>
        <v>0</v>
      </c>
      <c r="H115" s="10">
        <v>0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1:28" ht="12.75">
      <c r="A116" s="7">
        <v>600</v>
      </c>
      <c r="B116" s="5" t="s">
        <v>29</v>
      </c>
      <c r="C116" s="8">
        <v>126.96</v>
      </c>
      <c r="D116" s="8">
        <v>472.43</v>
      </c>
      <c r="E116" s="8">
        <v>1550</v>
      </c>
      <c r="F116" s="8">
        <v>1550</v>
      </c>
      <c r="G116" s="8">
        <f t="shared" si="15"/>
        <v>0</v>
      </c>
      <c r="H116" s="10">
        <f>G116/E116</f>
        <v>0</v>
      </c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1:28" ht="12.75">
      <c r="A117" s="7">
        <v>700</v>
      </c>
      <c r="B117" s="5" t="s">
        <v>30</v>
      </c>
      <c r="C117" s="8">
        <v>0</v>
      </c>
      <c r="D117" s="8"/>
      <c r="E117" s="8">
        <v>0</v>
      </c>
      <c r="F117" s="8">
        <v>0</v>
      </c>
      <c r="G117" s="8">
        <f t="shared" si="15"/>
        <v>0</v>
      </c>
      <c r="H117" s="10">
        <v>0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1:28" ht="12.75">
      <c r="A118" s="7">
        <v>800</v>
      </c>
      <c r="B118" s="5" t="s">
        <v>31</v>
      </c>
      <c r="C118" s="8">
        <v>0</v>
      </c>
      <c r="D118" s="8"/>
      <c r="E118" s="8">
        <v>0</v>
      </c>
      <c r="F118" s="8">
        <v>0</v>
      </c>
      <c r="G118" s="8">
        <f t="shared" si="15"/>
        <v>0</v>
      </c>
      <c r="H118" s="10">
        <v>0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1:28" ht="12.75">
      <c r="A119" s="7">
        <v>900</v>
      </c>
      <c r="B119" s="5" t="s">
        <v>32</v>
      </c>
      <c r="C119" s="8">
        <v>0</v>
      </c>
      <c r="D119" s="8"/>
      <c r="E119" s="8">
        <v>0</v>
      </c>
      <c r="F119" s="8">
        <v>0</v>
      </c>
      <c r="G119" s="8">
        <f t="shared" si="15"/>
        <v>0</v>
      </c>
      <c r="H119" s="10">
        <v>0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ht="12.75">
      <c r="A120" s="5"/>
      <c r="B120" s="5"/>
      <c r="C120" s="8">
        <f aca="true" t="shared" si="17" ref="C120:G120">SUM(C108:C119)</f>
        <v>59590.03</v>
      </c>
      <c r="D120" s="8">
        <f t="shared" si="17"/>
        <v>88322.41</v>
      </c>
      <c r="E120" s="8">
        <f t="shared" si="17"/>
        <v>71790.57</v>
      </c>
      <c r="F120" s="8">
        <f t="shared" si="17"/>
        <v>77350.73999999999</v>
      </c>
      <c r="G120" s="8">
        <f t="shared" si="17"/>
        <v>5560.17</v>
      </c>
      <c r="H120" s="10">
        <f>G120/E120</f>
        <v>0.07744986562998454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ht="12.75">
      <c r="A123" s="2"/>
      <c r="B123" s="2" t="s">
        <v>76</v>
      </c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ht="12.75">
      <c r="A124" s="5"/>
      <c r="B124" s="11" t="s">
        <v>16</v>
      </c>
      <c r="C124" s="12" t="s">
        <v>17</v>
      </c>
      <c r="D124" s="12" t="s">
        <v>18</v>
      </c>
      <c r="E124" s="12" t="s">
        <v>19</v>
      </c>
      <c r="F124" s="12" t="s">
        <v>20</v>
      </c>
      <c r="G124" s="11" t="s">
        <v>7</v>
      </c>
      <c r="H124" s="12" t="s">
        <v>21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ht="12.75">
      <c r="A125" s="5"/>
      <c r="B125" s="5"/>
      <c r="C125" s="5"/>
      <c r="D125" s="5"/>
      <c r="E125" s="5"/>
      <c r="F125" s="5"/>
      <c r="G125" s="5"/>
      <c r="H125" s="5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1:28" ht="12.75">
      <c r="A126" s="7">
        <v>100</v>
      </c>
      <c r="B126" s="5" t="s">
        <v>22</v>
      </c>
      <c r="C126" s="8">
        <v>241277.55</v>
      </c>
      <c r="D126" s="8">
        <v>196064.79</v>
      </c>
      <c r="E126" s="8">
        <v>200961.14</v>
      </c>
      <c r="F126" s="8">
        <v>249005.5</v>
      </c>
      <c r="G126" s="8">
        <f aca="true" t="shared" si="18" ref="G126:G137">F126-E126</f>
        <v>48044.359999999986</v>
      </c>
      <c r="H126" s="10">
        <f aca="true" t="shared" si="19" ref="H126:H129">G126/E126</f>
        <v>0.23907288742490207</v>
      </c>
      <c r="I126" s="2" t="s">
        <v>109</v>
      </c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ht="12.75">
      <c r="A127" s="7">
        <v>200</v>
      </c>
      <c r="B127" s="5" t="s">
        <v>10</v>
      </c>
      <c r="C127" s="8">
        <v>70401.62</v>
      </c>
      <c r="D127" s="8">
        <v>44723.04</v>
      </c>
      <c r="E127" s="8">
        <v>57699.27</v>
      </c>
      <c r="F127" s="8">
        <v>58785.41</v>
      </c>
      <c r="G127" s="8">
        <f t="shared" si="18"/>
        <v>1086.1400000000067</v>
      </c>
      <c r="H127" s="10">
        <f t="shared" si="19"/>
        <v>0.01882415496764529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ht="12.75">
      <c r="A128" s="7">
        <v>300</v>
      </c>
      <c r="B128" s="5" t="s">
        <v>23</v>
      </c>
      <c r="C128" s="8">
        <v>4261.86</v>
      </c>
      <c r="D128" s="8">
        <v>3520.81</v>
      </c>
      <c r="E128" s="8">
        <v>6450</v>
      </c>
      <c r="F128" s="8">
        <v>6450</v>
      </c>
      <c r="G128" s="8">
        <f t="shared" si="18"/>
        <v>0</v>
      </c>
      <c r="H128" s="10">
        <f t="shared" si="19"/>
        <v>0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ht="12.75">
      <c r="A129" s="7">
        <v>400</v>
      </c>
      <c r="B129" s="5" t="s">
        <v>79</v>
      </c>
      <c r="C129" s="8">
        <v>16232.22</v>
      </c>
      <c r="D129" s="8">
        <v>20090.37</v>
      </c>
      <c r="E129" s="8">
        <v>16500</v>
      </c>
      <c r="F129" s="8">
        <v>20000</v>
      </c>
      <c r="G129" s="8">
        <f t="shared" si="18"/>
        <v>3500</v>
      </c>
      <c r="H129" s="10">
        <f t="shared" si="19"/>
        <v>0.21212121212121213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ht="12.75">
      <c r="A130" s="7">
        <v>561</v>
      </c>
      <c r="B130" s="5" t="s">
        <v>25</v>
      </c>
      <c r="C130" s="8">
        <v>0</v>
      </c>
      <c r="D130" s="8">
        <v>0</v>
      </c>
      <c r="E130" s="8">
        <v>0</v>
      </c>
      <c r="F130" s="8">
        <v>0</v>
      </c>
      <c r="G130" s="8">
        <f t="shared" si="18"/>
        <v>0</v>
      </c>
      <c r="H130" s="10">
        <v>0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:28" ht="12.75">
      <c r="A131" s="7">
        <v>593</v>
      </c>
      <c r="B131" s="5" t="s">
        <v>26</v>
      </c>
      <c r="C131" s="8">
        <v>0</v>
      </c>
      <c r="D131" s="8">
        <v>0</v>
      </c>
      <c r="E131" s="8">
        <v>0</v>
      </c>
      <c r="F131" s="8">
        <v>0</v>
      </c>
      <c r="G131" s="8">
        <f t="shared" si="18"/>
        <v>0</v>
      </c>
      <c r="H131" s="10">
        <v>0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1:28" ht="12.75">
      <c r="A132" s="7">
        <v>566</v>
      </c>
      <c r="B132" s="5" t="s">
        <v>27</v>
      </c>
      <c r="C132" s="8">
        <v>0</v>
      </c>
      <c r="D132" s="8">
        <v>0</v>
      </c>
      <c r="E132" s="8">
        <v>0</v>
      </c>
      <c r="F132" s="8">
        <v>0</v>
      </c>
      <c r="G132" s="8">
        <f t="shared" si="18"/>
        <v>0</v>
      </c>
      <c r="H132" s="10">
        <v>0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1:28" ht="12.75">
      <c r="A133" s="7">
        <v>500</v>
      </c>
      <c r="B133" s="5" t="s">
        <v>28</v>
      </c>
      <c r="C133" s="8">
        <v>2918.85</v>
      </c>
      <c r="D133" s="8">
        <v>2241.68</v>
      </c>
      <c r="E133" s="8">
        <v>3050</v>
      </c>
      <c r="F133" s="8">
        <v>3050</v>
      </c>
      <c r="G133" s="8">
        <f t="shared" si="18"/>
        <v>0</v>
      </c>
      <c r="H133" s="10">
        <f aca="true" t="shared" si="20" ref="H133:H134">G133/E133</f>
        <v>0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:28" ht="12.75">
      <c r="A134" s="7">
        <v>600</v>
      </c>
      <c r="B134" s="5" t="s">
        <v>29</v>
      </c>
      <c r="C134" s="8">
        <v>896.98</v>
      </c>
      <c r="D134" s="8">
        <v>350.76</v>
      </c>
      <c r="E134" s="8">
        <v>2000</v>
      </c>
      <c r="F134" s="8">
        <v>2000</v>
      </c>
      <c r="G134" s="8">
        <f t="shared" si="18"/>
        <v>0</v>
      </c>
      <c r="H134" s="10">
        <f t="shared" si="20"/>
        <v>0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1:28" ht="12.75">
      <c r="A135" s="7">
        <v>700</v>
      </c>
      <c r="B135" s="5" t="s">
        <v>30</v>
      </c>
      <c r="C135" s="8">
        <v>143.78</v>
      </c>
      <c r="D135" s="8">
        <v>0</v>
      </c>
      <c r="E135" s="8">
        <v>750</v>
      </c>
      <c r="F135" s="8">
        <v>750</v>
      </c>
      <c r="G135" s="8">
        <f t="shared" si="18"/>
        <v>0</v>
      </c>
      <c r="H135" s="10">
        <v>0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1:28" ht="12.75">
      <c r="A136" s="7">
        <v>800</v>
      </c>
      <c r="B136" s="5" t="s">
        <v>31</v>
      </c>
      <c r="C136" s="8">
        <v>570</v>
      </c>
      <c r="D136" s="8">
        <v>949</v>
      </c>
      <c r="E136" s="8">
        <v>750</v>
      </c>
      <c r="F136" s="8">
        <v>950</v>
      </c>
      <c r="G136" s="8">
        <f t="shared" si="18"/>
        <v>200</v>
      </c>
      <c r="H136" s="10">
        <f>G136/E136</f>
        <v>0.26666666666666666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1:28" ht="12.75">
      <c r="A137" s="7">
        <v>900</v>
      </c>
      <c r="B137" s="5" t="s">
        <v>32</v>
      </c>
      <c r="C137" s="8">
        <v>0</v>
      </c>
      <c r="D137" s="8">
        <v>0</v>
      </c>
      <c r="E137" s="8">
        <v>0</v>
      </c>
      <c r="F137" s="8">
        <v>0</v>
      </c>
      <c r="G137" s="8">
        <f t="shared" si="18"/>
        <v>0</v>
      </c>
      <c r="H137" s="10">
        <v>0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:28" ht="12.75">
      <c r="A138" s="5"/>
      <c r="B138" s="5"/>
      <c r="C138" s="8">
        <f aca="true" t="shared" si="21" ref="C138:G138">SUM(C126:C137)</f>
        <v>336702.86</v>
      </c>
      <c r="D138" s="8">
        <f t="shared" si="21"/>
        <v>267940.45</v>
      </c>
      <c r="E138" s="8">
        <f t="shared" si="21"/>
        <v>288160.41000000003</v>
      </c>
      <c r="F138" s="8">
        <f t="shared" si="21"/>
        <v>340990.91000000003</v>
      </c>
      <c r="G138" s="8">
        <f t="shared" si="21"/>
        <v>52830.49999999999</v>
      </c>
      <c r="H138" s="10">
        <f>G138/E138</f>
        <v>0.18333712115415157</v>
      </c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:28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1:28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1:28" ht="12.75">
      <c r="A141" s="2"/>
      <c r="B141" s="2" t="s">
        <v>78</v>
      </c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1:28" ht="12.75">
      <c r="A142" s="5"/>
      <c r="B142" s="11" t="s">
        <v>16</v>
      </c>
      <c r="C142" s="12" t="s">
        <v>17</v>
      </c>
      <c r="D142" s="12" t="s">
        <v>18</v>
      </c>
      <c r="E142" s="12" t="s">
        <v>19</v>
      </c>
      <c r="F142" s="12" t="s">
        <v>20</v>
      </c>
      <c r="G142" s="11" t="s">
        <v>7</v>
      </c>
      <c r="H142" s="12" t="s">
        <v>21</v>
      </c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1:28" ht="12.75">
      <c r="A143" s="5"/>
      <c r="B143" s="5"/>
      <c r="C143" s="5"/>
      <c r="D143" s="5"/>
      <c r="E143" s="5"/>
      <c r="F143" s="5"/>
      <c r="G143" s="5"/>
      <c r="H143" s="5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:28" ht="12.75">
      <c r="A144" s="7">
        <v>100</v>
      </c>
      <c r="B144" s="5" t="s">
        <v>22</v>
      </c>
      <c r="C144" s="8">
        <v>0</v>
      </c>
      <c r="D144" s="8">
        <v>0</v>
      </c>
      <c r="E144" s="8">
        <v>0</v>
      </c>
      <c r="F144" s="8">
        <v>0</v>
      </c>
      <c r="G144" s="8">
        <f aca="true" t="shared" si="22" ref="G144:G155">F144-E144</f>
        <v>0</v>
      </c>
      <c r="H144" s="10">
        <v>0</v>
      </c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:28" ht="12.75">
      <c r="A145" s="7">
        <v>200</v>
      </c>
      <c r="B145" s="5" t="s">
        <v>10</v>
      </c>
      <c r="C145" s="8">
        <v>0</v>
      </c>
      <c r="D145" s="8">
        <v>0</v>
      </c>
      <c r="E145" s="8">
        <v>0</v>
      </c>
      <c r="F145" s="8">
        <v>0</v>
      </c>
      <c r="G145" s="8">
        <f t="shared" si="22"/>
        <v>0</v>
      </c>
      <c r="H145" s="10">
        <v>0</v>
      </c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:28" ht="12.75">
      <c r="A146" s="7">
        <v>300</v>
      </c>
      <c r="B146" s="5" t="s">
        <v>23</v>
      </c>
      <c r="C146" s="8">
        <v>0</v>
      </c>
      <c r="D146" s="8">
        <v>0</v>
      </c>
      <c r="E146" s="8">
        <v>0</v>
      </c>
      <c r="F146" s="8">
        <v>0</v>
      </c>
      <c r="G146" s="8">
        <f t="shared" si="22"/>
        <v>0</v>
      </c>
      <c r="H146" s="10">
        <v>0</v>
      </c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 ht="12.75">
      <c r="A147" s="7">
        <v>400</v>
      </c>
      <c r="B147" s="5" t="s">
        <v>79</v>
      </c>
      <c r="C147" s="8">
        <v>0</v>
      </c>
      <c r="D147" s="8">
        <v>0</v>
      </c>
      <c r="E147" s="8">
        <v>0</v>
      </c>
      <c r="F147" s="8">
        <v>0</v>
      </c>
      <c r="G147" s="8">
        <f t="shared" si="22"/>
        <v>0</v>
      </c>
      <c r="H147" s="10">
        <v>0</v>
      </c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:28" ht="12.75">
      <c r="A148" s="7">
        <v>561</v>
      </c>
      <c r="B148" s="5" t="s">
        <v>25</v>
      </c>
      <c r="C148" s="8">
        <v>0</v>
      </c>
      <c r="D148" s="8">
        <v>0</v>
      </c>
      <c r="E148" s="8">
        <v>0</v>
      </c>
      <c r="F148" s="8">
        <v>0</v>
      </c>
      <c r="G148" s="8">
        <f t="shared" si="22"/>
        <v>0</v>
      </c>
      <c r="H148" s="10">
        <v>0</v>
      </c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:28" ht="12.75">
      <c r="A149" s="7">
        <v>593</v>
      </c>
      <c r="B149" s="5" t="s">
        <v>26</v>
      </c>
      <c r="C149" s="8">
        <v>0</v>
      </c>
      <c r="D149" s="8">
        <v>0</v>
      </c>
      <c r="E149" s="8">
        <v>0</v>
      </c>
      <c r="F149" s="8">
        <v>0</v>
      </c>
      <c r="G149" s="8">
        <f t="shared" si="22"/>
        <v>0</v>
      </c>
      <c r="H149" s="10">
        <v>0</v>
      </c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 ht="12.75">
      <c r="A150" s="7">
        <v>566</v>
      </c>
      <c r="B150" s="5" t="s">
        <v>27</v>
      </c>
      <c r="C150" s="8">
        <v>0</v>
      </c>
      <c r="D150" s="8">
        <v>0</v>
      </c>
      <c r="E150" s="8">
        <v>0</v>
      </c>
      <c r="F150" s="8">
        <v>0</v>
      </c>
      <c r="G150" s="8">
        <f t="shared" si="22"/>
        <v>0</v>
      </c>
      <c r="H150" s="10">
        <v>0</v>
      </c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 ht="12.75">
      <c r="A151" s="7">
        <v>500</v>
      </c>
      <c r="B151" s="5" t="s">
        <v>28</v>
      </c>
      <c r="C151" s="8">
        <v>0</v>
      </c>
      <c r="D151" s="8">
        <v>0</v>
      </c>
      <c r="E151" s="8">
        <v>0</v>
      </c>
      <c r="F151" s="8">
        <v>0</v>
      </c>
      <c r="G151" s="8">
        <f t="shared" si="22"/>
        <v>0</v>
      </c>
      <c r="H151" s="10">
        <v>0</v>
      </c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 ht="12.75">
      <c r="A152" s="7">
        <v>600</v>
      </c>
      <c r="B152" s="5" t="s">
        <v>29</v>
      </c>
      <c r="C152" s="8">
        <v>0</v>
      </c>
      <c r="D152" s="8">
        <v>0</v>
      </c>
      <c r="E152" s="8">
        <v>0</v>
      </c>
      <c r="F152" s="8">
        <v>0</v>
      </c>
      <c r="G152" s="8">
        <f t="shared" si="22"/>
        <v>0</v>
      </c>
      <c r="H152" s="10">
        <v>0</v>
      </c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:28" ht="12.75">
      <c r="A153" s="7">
        <v>700</v>
      </c>
      <c r="B153" s="5" t="s">
        <v>30</v>
      </c>
      <c r="C153" s="8">
        <v>0</v>
      </c>
      <c r="D153" s="8">
        <v>0</v>
      </c>
      <c r="E153" s="8">
        <v>0</v>
      </c>
      <c r="F153" s="8">
        <v>0</v>
      </c>
      <c r="G153" s="8">
        <f t="shared" si="22"/>
        <v>0</v>
      </c>
      <c r="H153" s="10">
        <v>0</v>
      </c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:28" ht="12.75">
      <c r="A154" s="7">
        <v>800</v>
      </c>
      <c r="B154" s="5" t="s">
        <v>31</v>
      </c>
      <c r="C154" s="8">
        <v>0</v>
      </c>
      <c r="D154" s="8">
        <v>0</v>
      </c>
      <c r="E154" s="8">
        <v>0</v>
      </c>
      <c r="F154" s="8">
        <v>0</v>
      </c>
      <c r="G154" s="8">
        <f t="shared" si="22"/>
        <v>0</v>
      </c>
      <c r="H154" s="10">
        <v>0</v>
      </c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:28" ht="12.75">
      <c r="A155" s="7">
        <v>900</v>
      </c>
      <c r="B155" s="5" t="s">
        <v>32</v>
      </c>
      <c r="C155" s="8">
        <v>0</v>
      </c>
      <c r="D155" s="8">
        <v>0</v>
      </c>
      <c r="E155" s="8">
        <v>0</v>
      </c>
      <c r="F155" s="8">
        <v>0</v>
      </c>
      <c r="G155" s="8">
        <f t="shared" si="22"/>
        <v>0</v>
      </c>
      <c r="H155" s="10">
        <v>0</v>
      </c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:28" ht="12.75">
      <c r="A156" s="5"/>
      <c r="B156" s="5"/>
      <c r="C156" s="8">
        <f>SUM(C144:C155)</f>
        <v>0</v>
      </c>
      <c r="D156" s="8">
        <v>0</v>
      </c>
      <c r="E156" s="8">
        <f aca="true" t="shared" si="23" ref="E156:G156">SUM(E144:E155)</f>
        <v>0</v>
      </c>
      <c r="F156" s="8">
        <f t="shared" si="23"/>
        <v>0</v>
      </c>
      <c r="G156" s="8">
        <f t="shared" si="23"/>
        <v>0</v>
      </c>
      <c r="H156" s="10">
        <v>0</v>
      </c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:28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:28" ht="12.75">
      <c r="A159" s="2"/>
      <c r="B159" s="2" t="s">
        <v>80</v>
      </c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 ht="12.75">
      <c r="A160" s="5"/>
      <c r="B160" s="11" t="s">
        <v>16</v>
      </c>
      <c r="C160" s="12" t="s">
        <v>17</v>
      </c>
      <c r="D160" s="12" t="s">
        <v>18</v>
      </c>
      <c r="E160" s="12" t="s">
        <v>19</v>
      </c>
      <c r="F160" s="12" t="s">
        <v>20</v>
      </c>
      <c r="G160" s="11" t="s">
        <v>7</v>
      </c>
      <c r="H160" s="12" t="s">
        <v>21</v>
      </c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:28" ht="12.75">
      <c r="A161" s="5"/>
      <c r="B161" s="5"/>
      <c r="C161" s="5"/>
      <c r="D161" s="5"/>
      <c r="E161" s="5"/>
      <c r="F161" s="5"/>
      <c r="G161" s="5"/>
      <c r="H161" s="5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:28" ht="12.75">
      <c r="A162" s="7">
        <v>100</v>
      </c>
      <c r="B162" s="5" t="s">
        <v>22</v>
      </c>
      <c r="C162" s="8">
        <v>114272.47</v>
      </c>
      <c r="D162" s="8">
        <v>96191.92</v>
      </c>
      <c r="E162" s="8">
        <v>116890.88</v>
      </c>
      <c r="F162" s="8">
        <v>120117</v>
      </c>
      <c r="G162" s="8">
        <f aca="true" t="shared" si="24" ref="G162:G173">F162-E162</f>
        <v>3226.1199999999953</v>
      </c>
      <c r="H162" s="10">
        <f aca="true" t="shared" si="25" ref="H162:H163">G162/E162</f>
        <v>0.027599415797023644</v>
      </c>
      <c r="I162" s="2" t="s">
        <v>110</v>
      </c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:28" ht="12.75">
      <c r="A163" s="7">
        <v>200</v>
      </c>
      <c r="B163" s="5" t="s">
        <v>10</v>
      </c>
      <c r="C163" s="8">
        <v>34312.93</v>
      </c>
      <c r="D163" s="8">
        <v>35990.84</v>
      </c>
      <c r="E163" s="8">
        <v>44348.11</v>
      </c>
      <c r="F163" s="8">
        <v>35626.6</v>
      </c>
      <c r="G163" s="8">
        <f t="shared" si="24"/>
        <v>-8721.510000000002</v>
      </c>
      <c r="H163" s="10">
        <f t="shared" si="25"/>
        <v>-0.1966602409888494</v>
      </c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:28" ht="12.75">
      <c r="A164" s="7">
        <v>300</v>
      </c>
      <c r="B164" s="5" t="s">
        <v>23</v>
      </c>
      <c r="C164" s="8">
        <v>0</v>
      </c>
      <c r="D164" s="8">
        <v>0</v>
      </c>
      <c r="E164" s="8">
        <v>0</v>
      </c>
      <c r="F164" s="8">
        <v>0</v>
      </c>
      <c r="G164" s="8">
        <f t="shared" si="24"/>
        <v>0</v>
      </c>
      <c r="H164" s="10">
        <v>0</v>
      </c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:28" ht="12.75">
      <c r="A165" s="7">
        <v>400</v>
      </c>
      <c r="B165" s="5" t="s">
        <v>24</v>
      </c>
      <c r="C165" s="8">
        <v>104752.2</v>
      </c>
      <c r="D165" s="8">
        <v>66786.14</v>
      </c>
      <c r="E165" s="8">
        <v>85360</v>
      </c>
      <c r="F165" s="8">
        <v>87530</v>
      </c>
      <c r="G165" s="8">
        <f t="shared" si="24"/>
        <v>2170</v>
      </c>
      <c r="H165" s="10">
        <f>G165/E165</f>
        <v>0.02542174320524836</v>
      </c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:28" ht="12.75">
      <c r="A166" s="7">
        <v>561</v>
      </c>
      <c r="B166" s="5" t="s">
        <v>25</v>
      </c>
      <c r="C166" s="8">
        <v>0</v>
      </c>
      <c r="D166" s="8">
        <v>0</v>
      </c>
      <c r="E166" s="8">
        <v>0</v>
      </c>
      <c r="F166" s="8">
        <v>0</v>
      </c>
      <c r="G166" s="8">
        <f t="shared" si="24"/>
        <v>0</v>
      </c>
      <c r="H166" s="10">
        <v>0</v>
      </c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1:28" ht="12.75">
      <c r="A167" s="7">
        <v>593</v>
      </c>
      <c r="B167" s="5" t="s">
        <v>26</v>
      </c>
      <c r="C167" s="8">
        <v>0</v>
      </c>
      <c r="D167" s="8">
        <v>0</v>
      </c>
      <c r="E167" s="8">
        <v>0</v>
      </c>
      <c r="F167" s="8">
        <v>0</v>
      </c>
      <c r="G167" s="8">
        <f t="shared" si="24"/>
        <v>0</v>
      </c>
      <c r="H167" s="10">
        <v>0</v>
      </c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1:28" ht="12.75">
      <c r="A168" s="7">
        <v>566</v>
      </c>
      <c r="B168" s="5" t="s">
        <v>27</v>
      </c>
      <c r="C168" s="8">
        <v>0</v>
      </c>
      <c r="D168" s="8">
        <v>0</v>
      </c>
      <c r="E168" s="8">
        <v>0</v>
      </c>
      <c r="F168" s="8">
        <v>0</v>
      </c>
      <c r="G168" s="8">
        <f t="shared" si="24"/>
        <v>0</v>
      </c>
      <c r="H168" s="10">
        <v>0</v>
      </c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1:28" ht="12.75">
      <c r="A169" s="7">
        <v>500</v>
      </c>
      <c r="B169" s="5" t="s">
        <v>28</v>
      </c>
      <c r="C169" s="8">
        <v>14041.33</v>
      </c>
      <c r="D169" s="8">
        <v>14413.28</v>
      </c>
      <c r="E169" s="8">
        <v>15750</v>
      </c>
      <c r="F169" s="8">
        <v>15750</v>
      </c>
      <c r="G169" s="8">
        <f t="shared" si="24"/>
        <v>0</v>
      </c>
      <c r="H169" s="10">
        <f aca="true" t="shared" si="26" ref="H169:H170">G169/E169</f>
        <v>0</v>
      </c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:28" ht="12.75">
      <c r="A170" s="7">
        <v>600</v>
      </c>
      <c r="B170" s="5" t="s">
        <v>29</v>
      </c>
      <c r="C170" s="8">
        <v>86122.37</v>
      </c>
      <c r="D170" s="8">
        <v>70202.34</v>
      </c>
      <c r="E170" s="8">
        <v>105100</v>
      </c>
      <c r="F170" s="8">
        <v>105100</v>
      </c>
      <c r="G170" s="8">
        <f t="shared" si="24"/>
        <v>0</v>
      </c>
      <c r="H170" s="10">
        <f t="shared" si="26"/>
        <v>0</v>
      </c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1:28" ht="12.75">
      <c r="A171" s="7">
        <v>700</v>
      </c>
      <c r="B171" s="5" t="s">
        <v>30</v>
      </c>
      <c r="C171" s="8">
        <v>4953.76</v>
      </c>
      <c r="D171" s="8">
        <v>1093.95</v>
      </c>
      <c r="E171" s="8">
        <v>13000</v>
      </c>
      <c r="F171" s="8">
        <v>13000</v>
      </c>
      <c r="G171" s="8">
        <f t="shared" si="24"/>
        <v>0</v>
      </c>
      <c r="H171" s="10">
        <v>0</v>
      </c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:28" ht="12.75">
      <c r="A172" s="7">
        <v>800</v>
      </c>
      <c r="B172" s="5" t="s">
        <v>31</v>
      </c>
      <c r="C172" s="8">
        <v>0</v>
      </c>
      <c r="D172" s="8">
        <v>0</v>
      </c>
      <c r="E172" s="8">
        <v>0</v>
      </c>
      <c r="F172" s="8">
        <v>0</v>
      </c>
      <c r="G172" s="8">
        <f t="shared" si="24"/>
        <v>0</v>
      </c>
      <c r="H172" s="10">
        <v>0</v>
      </c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:28" ht="12.75">
      <c r="A173" s="7">
        <v>900</v>
      </c>
      <c r="B173" s="5" t="s">
        <v>32</v>
      </c>
      <c r="C173" s="8">
        <v>3500</v>
      </c>
      <c r="D173" s="8">
        <v>3500</v>
      </c>
      <c r="E173" s="8">
        <v>3500</v>
      </c>
      <c r="F173" s="8">
        <v>3500</v>
      </c>
      <c r="G173" s="8">
        <f t="shared" si="24"/>
        <v>0</v>
      </c>
      <c r="H173" s="10">
        <v>0</v>
      </c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:28" ht="12.75">
      <c r="A174" s="5"/>
      <c r="B174" s="5"/>
      <c r="C174" s="8">
        <f aca="true" t="shared" si="27" ref="C174:G174">SUM(C162:C173)</f>
        <v>361955.06</v>
      </c>
      <c r="D174" s="8">
        <f t="shared" si="27"/>
        <v>288178.47</v>
      </c>
      <c r="E174" s="8">
        <f t="shared" si="27"/>
        <v>383948.99</v>
      </c>
      <c r="F174" s="8">
        <f t="shared" si="27"/>
        <v>380623.6</v>
      </c>
      <c r="G174" s="8">
        <f t="shared" si="27"/>
        <v>-3325.3900000000067</v>
      </c>
      <c r="H174" s="10">
        <f>G174/E174</f>
        <v>-0.008661020308973874</v>
      </c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:28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1:28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1:28" ht="12.75">
      <c r="A177" s="2"/>
      <c r="B177" s="2" t="s">
        <v>82</v>
      </c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1:28" ht="12.75">
      <c r="A178" s="5"/>
      <c r="B178" s="11" t="s">
        <v>16</v>
      </c>
      <c r="C178" s="12" t="s">
        <v>17</v>
      </c>
      <c r="D178" s="12" t="s">
        <v>18</v>
      </c>
      <c r="E178" s="12" t="s">
        <v>19</v>
      </c>
      <c r="F178" s="12" t="s">
        <v>20</v>
      </c>
      <c r="G178" s="11" t="s">
        <v>7</v>
      </c>
      <c r="H178" s="12" t="s">
        <v>21</v>
      </c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1:28" ht="12.75">
      <c r="A179" s="5"/>
      <c r="B179" s="5"/>
      <c r="C179" s="5"/>
      <c r="D179" s="5"/>
      <c r="E179" s="5"/>
      <c r="F179" s="5"/>
      <c r="G179" s="5"/>
      <c r="H179" s="5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1:28" ht="12.75">
      <c r="A180" s="7">
        <v>100</v>
      </c>
      <c r="B180" s="5" t="s">
        <v>22</v>
      </c>
      <c r="C180" s="8">
        <v>444650.32</v>
      </c>
      <c r="D180" s="8">
        <v>293666.35</v>
      </c>
      <c r="E180" s="8">
        <v>423447</v>
      </c>
      <c r="F180" s="8">
        <f>524055-50000</f>
        <v>474055</v>
      </c>
      <c r="G180" s="8">
        <f aca="true" t="shared" si="28" ref="G180:G191">F180-E180</f>
        <v>50608</v>
      </c>
      <c r="H180" s="10">
        <f aca="true" t="shared" si="29" ref="H180:H181">G180/E180</f>
        <v>0.11951436661494827</v>
      </c>
      <c r="I180" s="2" t="s">
        <v>111</v>
      </c>
      <c r="J180" s="2" t="s">
        <v>3</v>
      </c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1:28" ht="12.75">
      <c r="A181" s="7">
        <v>200</v>
      </c>
      <c r="B181" s="5" t="s">
        <v>10</v>
      </c>
      <c r="C181" s="8">
        <v>89028.52</v>
      </c>
      <c r="D181" s="8">
        <v>79806.54</v>
      </c>
      <c r="E181" s="8">
        <v>134127.2</v>
      </c>
      <c r="F181" s="8">
        <f>156613.2-7605</f>
        <v>149008.2</v>
      </c>
      <c r="G181" s="8">
        <f t="shared" si="28"/>
        <v>14881</v>
      </c>
      <c r="H181" s="10">
        <f t="shared" si="29"/>
        <v>0.11094692202625567</v>
      </c>
      <c r="I181" s="2" t="s">
        <v>3</v>
      </c>
      <c r="J181" s="2" t="s">
        <v>3</v>
      </c>
      <c r="K181" s="2" t="s">
        <v>3</v>
      </c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1:28" ht="12.75">
      <c r="A182" s="7">
        <v>300</v>
      </c>
      <c r="B182" s="5" t="s">
        <v>23</v>
      </c>
      <c r="C182" s="8">
        <v>34732.83</v>
      </c>
      <c r="D182" s="8">
        <v>0</v>
      </c>
      <c r="E182" s="8">
        <v>0</v>
      </c>
      <c r="F182" s="8">
        <v>0</v>
      </c>
      <c r="G182" s="8">
        <f t="shared" si="28"/>
        <v>0</v>
      </c>
      <c r="H182" s="10">
        <v>0</v>
      </c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1:28" ht="12.75">
      <c r="A183" s="7">
        <v>400</v>
      </c>
      <c r="B183" s="5" t="s">
        <v>24</v>
      </c>
      <c r="C183" s="8">
        <v>0</v>
      </c>
      <c r="D183" s="8">
        <v>0</v>
      </c>
      <c r="E183" s="8">
        <v>0</v>
      </c>
      <c r="F183" s="8">
        <v>0</v>
      </c>
      <c r="G183" s="8">
        <f t="shared" si="28"/>
        <v>0</v>
      </c>
      <c r="H183" s="10">
        <v>0</v>
      </c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1:28" ht="12.75">
      <c r="A184" s="7">
        <v>561</v>
      </c>
      <c r="B184" s="5" t="s">
        <v>25</v>
      </c>
      <c r="C184" s="8">
        <v>0</v>
      </c>
      <c r="D184" s="8">
        <v>0</v>
      </c>
      <c r="E184" s="8">
        <v>0</v>
      </c>
      <c r="F184" s="8">
        <v>0</v>
      </c>
      <c r="G184" s="8">
        <f t="shared" si="28"/>
        <v>0</v>
      </c>
      <c r="H184" s="10">
        <v>0</v>
      </c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 ht="12.75">
      <c r="A185" s="7">
        <v>593</v>
      </c>
      <c r="B185" s="5" t="s">
        <v>26</v>
      </c>
      <c r="C185" s="8">
        <v>0</v>
      </c>
      <c r="D185" s="8">
        <v>0</v>
      </c>
      <c r="E185" s="8">
        <v>0</v>
      </c>
      <c r="F185" s="8">
        <v>0</v>
      </c>
      <c r="G185" s="8">
        <f t="shared" si="28"/>
        <v>0</v>
      </c>
      <c r="H185" s="10">
        <v>0</v>
      </c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:28" ht="12.75">
      <c r="A186" s="7">
        <v>566</v>
      </c>
      <c r="B186" s="5" t="s">
        <v>27</v>
      </c>
      <c r="C186" s="8">
        <v>0</v>
      </c>
      <c r="D186" s="8">
        <v>0</v>
      </c>
      <c r="E186" s="8">
        <v>0</v>
      </c>
      <c r="F186" s="8">
        <v>0</v>
      </c>
      <c r="G186" s="8">
        <f t="shared" si="28"/>
        <v>0</v>
      </c>
      <c r="H186" s="10">
        <v>0</v>
      </c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ht="12.75">
      <c r="A187" s="7">
        <v>500</v>
      </c>
      <c r="B187" s="5" t="s">
        <v>28</v>
      </c>
      <c r="C187" s="8">
        <v>0</v>
      </c>
      <c r="D187" s="8">
        <v>0</v>
      </c>
      <c r="E187" s="8">
        <v>0</v>
      </c>
      <c r="F187" s="8">
        <v>0</v>
      </c>
      <c r="G187" s="8">
        <f t="shared" si="28"/>
        <v>0</v>
      </c>
      <c r="H187" s="10">
        <v>0</v>
      </c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ht="12.75">
      <c r="A188" s="7">
        <v>600</v>
      </c>
      <c r="B188" s="5" t="s">
        <v>29</v>
      </c>
      <c r="C188" s="8">
        <v>0</v>
      </c>
      <c r="D188" s="8">
        <v>0</v>
      </c>
      <c r="E188" s="8">
        <v>0</v>
      </c>
      <c r="F188" s="8">
        <v>0</v>
      </c>
      <c r="G188" s="8">
        <f t="shared" si="28"/>
        <v>0</v>
      </c>
      <c r="H188" s="10">
        <v>0</v>
      </c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ht="12.75">
      <c r="A189" s="7">
        <v>700</v>
      </c>
      <c r="B189" s="5" t="s">
        <v>30</v>
      </c>
      <c r="C189" s="8">
        <v>0</v>
      </c>
      <c r="D189" s="8">
        <v>0</v>
      </c>
      <c r="E189" s="8">
        <v>0</v>
      </c>
      <c r="F189" s="8">
        <v>0</v>
      </c>
      <c r="G189" s="8">
        <f t="shared" si="28"/>
        <v>0</v>
      </c>
      <c r="H189" s="10">
        <v>0</v>
      </c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 ht="12.75">
      <c r="A190" s="7">
        <v>800</v>
      </c>
      <c r="B190" s="5" t="s">
        <v>31</v>
      </c>
      <c r="C190" s="8">
        <v>0</v>
      </c>
      <c r="D190" s="8">
        <v>0</v>
      </c>
      <c r="E190" s="8">
        <v>0</v>
      </c>
      <c r="F190" s="8">
        <v>0</v>
      </c>
      <c r="G190" s="8">
        <f t="shared" si="28"/>
        <v>0</v>
      </c>
      <c r="H190" s="10">
        <v>0</v>
      </c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ht="12.75">
      <c r="A191" s="7">
        <v>900</v>
      </c>
      <c r="B191" s="5" t="s">
        <v>32</v>
      </c>
      <c r="C191" s="8">
        <v>0</v>
      </c>
      <c r="D191" s="8">
        <v>0</v>
      </c>
      <c r="E191" s="8">
        <v>0</v>
      </c>
      <c r="F191" s="8">
        <v>0</v>
      </c>
      <c r="G191" s="8">
        <f t="shared" si="28"/>
        <v>0</v>
      </c>
      <c r="H191" s="10">
        <v>0</v>
      </c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ht="12.75">
      <c r="A192" s="5"/>
      <c r="B192" s="5"/>
      <c r="C192" s="8">
        <f aca="true" t="shared" si="30" ref="C192:G192">SUM(C180:C191)</f>
        <v>568411.67</v>
      </c>
      <c r="D192" s="8">
        <f t="shared" si="30"/>
        <v>373472.88999999996</v>
      </c>
      <c r="E192" s="8">
        <f t="shared" si="30"/>
        <v>557574.2</v>
      </c>
      <c r="F192" s="8">
        <f t="shared" si="30"/>
        <v>623063.2</v>
      </c>
      <c r="G192" s="8">
        <f t="shared" si="30"/>
        <v>65489</v>
      </c>
      <c r="H192" s="10">
        <f>G192/E192</f>
        <v>0.11745342592967896</v>
      </c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 ht="12.75">
      <c r="A195" s="2"/>
      <c r="B195" s="2" t="s">
        <v>84</v>
      </c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 ht="12.75">
      <c r="A196" s="5"/>
      <c r="B196" s="11" t="s">
        <v>16</v>
      </c>
      <c r="C196" s="12" t="s">
        <v>17</v>
      </c>
      <c r="D196" s="12" t="s">
        <v>18</v>
      </c>
      <c r="E196" s="12" t="s">
        <v>19</v>
      </c>
      <c r="F196" s="12" t="s">
        <v>20</v>
      </c>
      <c r="G196" s="11" t="s">
        <v>7</v>
      </c>
      <c r="H196" s="12" t="s">
        <v>21</v>
      </c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 ht="12.75">
      <c r="A197" s="5"/>
      <c r="B197" s="5"/>
      <c r="C197" s="5"/>
      <c r="D197" s="5"/>
      <c r="E197" s="5"/>
      <c r="F197" s="5"/>
      <c r="G197" s="5"/>
      <c r="H197" s="5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1:28" ht="12.75">
      <c r="A198" s="7">
        <v>100</v>
      </c>
      <c r="B198" s="5" t="s">
        <v>22</v>
      </c>
      <c r="C198" s="8">
        <v>0</v>
      </c>
      <c r="D198" s="8">
        <v>0</v>
      </c>
      <c r="E198" s="8">
        <v>0</v>
      </c>
      <c r="F198" s="8">
        <v>0</v>
      </c>
      <c r="G198" s="8">
        <f aca="true" t="shared" si="31" ref="G198:G209">F198-E198</f>
        <v>0</v>
      </c>
      <c r="H198" s="10">
        <v>0</v>
      </c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 ht="12.75">
      <c r="A199" s="7">
        <v>200</v>
      </c>
      <c r="B199" s="5" t="s">
        <v>10</v>
      </c>
      <c r="C199" s="8">
        <v>0</v>
      </c>
      <c r="D199" s="8">
        <v>0</v>
      </c>
      <c r="E199" s="8">
        <v>0</v>
      </c>
      <c r="F199" s="8">
        <v>0</v>
      </c>
      <c r="G199" s="8">
        <f t="shared" si="31"/>
        <v>0</v>
      </c>
      <c r="H199" s="10">
        <v>0</v>
      </c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 ht="12.75">
      <c r="A200" s="7">
        <v>300</v>
      </c>
      <c r="B200" s="5" t="s">
        <v>23</v>
      </c>
      <c r="C200" s="8">
        <v>0</v>
      </c>
      <c r="D200" s="8">
        <v>0</v>
      </c>
      <c r="E200" s="8">
        <v>0</v>
      </c>
      <c r="F200" s="8">
        <v>0</v>
      </c>
      <c r="G200" s="8">
        <f t="shared" si="31"/>
        <v>0</v>
      </c>
      <c r="H200" s="10">
        <v>0</v>
      </c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 ht="12.75">
      <c r="A201" s="7">
        <v>400</v>
      </c>
      <c r="B201" s="5" t="s">
        <v>24</v>
      </c>
      <c r="C201" s="8">
        <v>0</v>
      </c>
      <c r="D201" s="8">
        <v>0</v>
      </c>
      <c r="E201" s="8">
        <v>0</v>
      </c>
      <c r="F201" s="8">
        <v>0</v>
      </c>
      <c r="G201" s="8">
        <f t="shared" si="31"/>
        <v>0</v>
      </c>
      <c r="H201" s="10">
        <v>0</v>
      </c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 ht="12.75">
      <c r="A202" s="7">
        <v>561</v>
      </c>
      <c r="B202" s="5" t="s">
        <v>25</v>
      </c>
      <c r="C202" s="8">
        <v>0</v>
      </c>
      <c r="D202" s="8">
        <v>0</v>
      </c>
      <c r="E202" s="8">
        <v>0</v>
      </c>
      <c r="F202" s="8">
        <v>0</v>
      </c>
      <c r="G202" s="8">
        <f t="shared" si="31"/>
        <v>0</v>
      </c>
      <c r="H202" s="10">
        <v>0</v>
      </c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 ht="12.75">
      <c r="A203" s="7">
        <v>593</v>
      </c>
      <c r="B203" s="5" t="s">
        <v>26</v>
      </c>
      <c r="C203" s="8">
        <v>0</v>
      </c>
      <c r="D203" s="8">
        <v>0</v>
      </c>
      <c r="E203" s="8">
        <v>0</v>
      </c>
      <c r="F203" s="8">
        <v>0</v>
      </c>
      <c r="G203" s="8">
        <f t="shared" si="31"/>
        <v>0</v>
      </c>
      <c r="H203" s="10">
        <v>0</v>
      </c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ht="12.75">
      <c r="A204" s="7">
        <v>566</v>
      </c>
      <c r="B204" s="5" t="s">
        <v>27</v>
      </c>
      <c r="C204" s="8">
        <v>0</v>
      </c>
      <c r="D204" s="8">
        <v>0</v>
      </c>
      <c r="E204" s="8">
        <v>0</v>
      </c>
      <c r="F204" s="8">
        <v>0</v>
      </c>
      <c r="G204" s="8">
        <f t="shared" si="31"/>
        <v>0</v>
      </c>
      <c r="H204" s="10">
        <v>0</v>
      </c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 ht="12.75">
      <c r="A205" s="7">
        <v>500</v>
      </c>
      <c r="B205" s="5" t="s">
        <v>28</v>
      </c>
      <c r="C205" s="8">
        <v>0</v>
      </c>
      <c r="D205" s="8">
        <v>0</v>
      </c>
      <c r="E205" s="8">
        <v>0</v>
      </c>
      <c r="F205" s="8">
        <v>0</v>
      </c>
      <c r="G205" s="8">
        <f t="shared" si="31"/>
        <v>0</v>
      </c>
      <c r="H205" s="10">
        <v>0</v>
      </c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 ht="12.75">
      <c r="A206" s="7">
        <v>600</v>
      </c>
      <c r="B206" s="5" t="s">
        <v>29</v>
      </c>
      <c r="C206" s="8">
        <v>237.3</v>
      </c>
      <c r="D206" s="8">
        <v>0</v>
      </c>
      <c r="E206" s="8">
        <v>0</v>
      </c>
      <c r="F206" s="8">
        <v>0</v>
      </c>
      <c r="G206" s="8">
        <f t="shared" si="31"/>
        <v>0</v>
      </c>
      <c r="H206" s="10">
        <v>0</v>
      </c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 ht="12.75">
      <c r="A207" s="7">
        <v>700</v>
      </c>
      <c r="B207" s="5" t="s">
        <v>30</v>
      </c>
      <c r="C207" s="8">
        <v>0</v>
      </c>
      <c r="D207" s="8">
        <v>0</v>
      </c>
      <c r="E207" s="8">
        <v>0</v>
      </c>
      <c r="F207" s="8">
        <v>0</v>
      </c>
      <c r="G207" s="8">
        <f t="shared" si="31"/>
        <v>0</v>
      </c>
      <c r="H207" s="10">
        <v>0</v>
      </c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 ht="12.75">
      <c r="A208" s="7">
        <v>800</v>
      </c>
      <c r="B208" s="5" t="s">
        <v>31</v>
      </c>
      <c r="C208" s="8">
        <v>0</v>
      </c>
      <c r="D208" s="8">
        <v>0</v>
      </c>
      <c r="E208" s="8">
        <v>0</v>
      </c>
      <c r="F208" s="8">
        <v>0</v>
      </c>
      <c r="G208" s="8">
        <f t="shared" si="31"/>
        <v>0</v>
      </c>
      <c r="H208" s="10">
        <v>0</v>
      </c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 ht="12.75">
      <c r="A209" s="7">
        <v>900</v>
      </c>
      <c r="B209" s="5" t="s">
        <v>32</v>
      </c>
      <c r="C209" s="8">
        <v>0</v>
      </c>
      <c r="D209" s="8">
        <v>0</v>
      </c>
      <c r="E209" s="8">
        <v>0</v>
      </c>
      <c r="F209" s="8">
        <v>0</v>
      </c>
      <c r="G209" s="8">
        <f t="shared" si="31"/>
        <v>0</v>
      </c>
      <c r="H209" s="10">
        <v>0</v>
      </c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 ht="12.75">
      <c r="A210" s="5"/>
      <c r="B210" s="5"/>
      <c r="C210" s="8">
        <f>SUM(C198:C209)</f>
        <v>237.3</v>
      </c>
      <c r="D210" s="8">
        <v>0</v>
      </c>
      <c r="E210" s="8">
        <f aca="true" t="shared" si="32" ref="E210:G210">SUM(E198:E209)</f>
        <v>0</v>
      </c>
      <c r="F210" s="8">
        <f t="shared" si="32"/>
        <v>0</v>
      </c>
      <c r="G210" s="8">
        <f t="shared" si="32"/>
        <v>0</v>
      </c>
      <c r="H210" s="10">
        <v>0</v>
      </c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1:28" ht="12.75">
      <c r="A213" s="2"/>
      <c r="B213" s="2" t="s">
        <v>85</v>
      </c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1:28" ht="12.75">
      <c r="A214" s="5"/>
      <c r="B214" s="11" t="s">
        <v>16</v>
      </c>
      <c r="C214" s="12" t="s">
        <v>17</v>
      </c>
      <c r="D214" s="12" t="s">
        <v>18</v>
      </c>
      <c r="E214" s="12" t="s">
        <v>19</v>
      </c>
      <c r="F214" s="12" t="s">
        <v>20</v>
      </c>
      <c r="G214" s="11" t="s">
        <v>7</v>
      </c>
      <c r="H214" s="12" t="s">
        <v>21</v>
      </c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1:28" ht="12.75">
      <c r="A215" s="5"/>
      <c r="B215" s="5"/>
      <c r="C215" s="5"/>
      <c r="D215" s="5"/>
      <c r="E215" s="5"/>
      <c r="F215" s="5"/>
      <c r="G215" s="5"/>
      <c r="H215" s="5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1:28" ht="12.75">
      <c r="A216" s="7">
        <v>100</v>
      </c>
      <c r="B216" s="5" t="s">
        <v>22</v>
      </c>
      <c r="C216" s="8">
        <v>0</v>
      </c>
      <c r="D216" s="8">
        <v>0</v>
      </c>
      <c r="E216" s="8">
        <v>0</v>
      </c>
      <c r="F216" s="8">
        <v>0</v>
      </c>
      <c r="G216" s="8">
        <f aca="true" t="shared" si="33" ref="G216:G227">F216-E216</f>
        <v>0</v>
      </c>
      <c r="H216" s="10">
        <v>0</v>
      </c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1:28" ht="12.75">
      <c r="A217" s="7">
        <v>200</v>
      </c>
      <c r="B217" s="5" t="s">
        <v>10</v>
      </c>
      <c r="C217" s="8">
        <v>0</v>
      </c>
      <c r="D217" s="8">
        <v>0</v>
      </c>
      <c r="E217" s="8">
        <v>0</v>
      </c>
      <c r="F217" s="8">
        <v>0</v>
      </c>
      <c r="G217" s="8">
        <f t="shared" si="33"/>
        <v>0</v>
      </c>
      <c r="H217" s="10">
        <v>0</v>
      </c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1:28" ht="12.75">
      <c r="A218" s="7">
        <v>300</v>
      </c>
      <c r="B218" s="5" t="s">
        <v>23</v>
      </c>
      <c r="C218" s="8">
        <v>0</v>
      </c>
      <c r="D218" s="8">
        <v>0</v>
      </c>
      <c r="E218" s="8">
        <v>0</v>
      </c>
      <c r="F218" s="8">
        <v>0</v>
      </c>
      <c r="G218" s="8">
        <f t="shared" si="33"/>
        <v>0</v>
      </c>
      <c r="H218" s="10">
        <v>0</v>
      </c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1:28" ht="12.75">
      <c r="A219" s="7">
        <v>300</v>
      </c>
      <c r="B219" s="5" t="s">
        <v>86</v>
      </c>
      <c r="C219" s="8">
        <v>0</v>
      </c>
      <c r="D219" s="8">
        <v>0</v>
      </c>
      <c r="E219" s="8">
        <v>0</v>
      </c>
      <c r="F219" s="8">
        <v>0</v>
      </c>
      <c r="G219" s="8">
        <f t="shared" si="33"/>
        <v>0</v>
      </c>
      <c r="H219" s="10">
        <v>0</v>
      </c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1:28" ht="12.75">
      <c r="A220" s="7">
        <v>561</v>
      </c>
      <c r="B220" s="5" t="s">
        <v>25</v>
      </c>
      <c r="C220" s="8">
        <v>0</v>
      </c>
      <c r="D220" s="8">
        <v>0</v>
      </c>
      <c r="E220" s="8">
        <v>0</v>
      </c>
      <c r="F220" s="8">
        <v>0</v>
      </c>
      <c r="G220" s="8">
        <f t="shared" si="33"/>
        <v>0</v>
      </c>
      <c r="H220" s="10">
        <v>0</v>
      </c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1:28" ht="12.75">
      <c r="A221" s="7">
        <v>593</v>
      </c>
      <c r="B221" s="5" t="s">
        <v>26</v>
      </c>
      <c r="C221" s="8">
        <v>0</v>
      </c>
      <c r="D221" s="8">
        <v>0</v>
      </c>
      <c r="E221" s="8">
        <v>0</v>
      </c>
      <c r="F221" s="8">
        <v>0</v>
      </c>
      <c r="G221" s="8">
        <f t="shared" si="33"/>
        <v>0</v>
      </c>
      <c r="H221" s="10">
        <v>0</v>
      </c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1:28" ht="12.75">
      <c r="A222" s="7">
        <v>566</v>
      </c>
      <c r="B222" s="5" t="s">
        <v>27</v>
      </c>
      <c r="C222" s="8">
        <v>0</v>
      </c>
      <c r="D222" s="8">
        <v>0</v>
      </c>
      <c r="E222" s="8">
        <v>0</v>
      </c>
      <c r="F222" s="8">
        <v>0</v>
      </c>
      <c r="G222" s="8">
        <f t="shared" si="33"/>
        <v>0</v>
      </c>
      <c r="H222" s="10">
        <v>0</v>
      </c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pans="1:28" ht="12.75">
      <c r="A223" s="7">
        <v>500</v>
      </c>
      <c r="B223" s="5" t="s">
        <v>28</v>
      </c>
      <c r="C223" s="8">
        <v>0</v>
      </c>
      <c r="D223" s="8">
        <v>0</v>
      </c>
      <c r="E223" s="8">
        <v>0</v>
      </c>
      <c r="F223" s="8">
        <v>0</v>
      </c>
      <c r="G223" s="8">
        <f t="shared" si="33"/>
        <v>0</v>
      </c>
      <c r="H223" s="10">
        <v>0</v>
      </c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1:28" ht="12.75">
      <c r="A224" s="7">
        <v>600</v>
      </c>
      <c r="B224" s="5" t="s">
        <v>29</v>
      </c>
      <c r="C224" s="8">
        <v>0</v>
      </c>
      <c r="D224" s="8">
        <v>0</v>
      </c>
      <c r="E224" s="8">
        <v>0</v>
      </c>
      <c r="F224" s="8">
        <v>0</v>
      </c>
      <c r="G224" s="8">
        <f t="shared" si="33"/>
        <v>0</v>
      </c>
      <c r="H224" s="10">
        <v>0</v>
      </c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1:28" ht="12.75">
      <c r="A225" s="7">
        <v>700</v>
      </c>
      <c r="B225" s="5" t="s">
        <v>30</v>
      </c>
      <c r="C225" s="8">
        <v>0</v>
      </c>
      <c r="D225" s="8">
        <v>0</v>
      </c>
      <c r="E225" s="8">
        <v>0</v>
      </c>
      <c r="F225" s="8">
        <v>0</v>
      </c>
      <c r="G225" s="8">
        <f t="shared" si="33"/>
        <v>0</v>
      </c>
      <c r="H225" s="10">
        <v>0</v>
      </c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1:28" ht="12.75">
      <c r="A226" s="7">
        <v>800</v>
      </c>
      <c r="B226" s="5" t="s">
        <v>31</v>
      </c>
      <c r="C226" s="8">
        <v>0</v>
      </c>
      <c r="D226" s="8">
        <v>0</v>
      </c>
      <c r="E226" s="8">
        <v>0</v>
      </c>
      <c r="F226" s="8">
        <v>0</v>
      </c>
      <c r="G226" s="8">
        <f t="shared" si="33"/>
        <v>0</v>
      </c>
      <c r="H226" s="10">
        <v>0</v>
      </c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1:28" ht="12.75">
      <c r="A227" s="7">
        <v>900</v>
      </c>
      <c r="B227" s="5" t="s">
        <v>32</v>
      </c>
      <c r="C227" s="8">
        <v>0</v>
      </c>
      <c r="D227" s="8">
        <v>0</v>
      </c>
      <c r="E227" s="8">
        <v>0</v>
      </c>
      <c r="F227" s="8">
        <v>0</v>
      </c>
      <c r="G227" s="8">
        <f t="shared" si="33"/>
        <v>0</v>
      </c>
      <c r="H227" s="10">
        <v>0</v>
      </c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1:28" ht="12.75">
      <c r="A228" s="5"/>
      <c r="B228" s="5"/>
      <c r="C228" s="8">
        <f>SUM(C216:C227)</f>
        <v>0</v>
      </c>
      <c r="D228" s="8">
        <v>0</v>
      </c>
      <c r="E228" s="8">
        <f aca="true" t="shared" si="34" ref="E228:G228">SUM(E216:E227)</f>
        <v>0</v>
      </c>
      <c r="F228" s="8">
        <f t="shared" si="34"/>
        <v>0</v>
      </c>
      <c r="G228" s="8">
        <f t="shared" si="34"/>
        <v>0</v>
      </c>
      <c r="H228" s="10">
        <v>0</v>
      </c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1:28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1:28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1:28" ht="12.75">
      <c r="A231" s="2"/>
      <c r="B231" s="2" t="s">
        <v>87</v>
      </c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1:28" ht="12.75">
      <c r="A232" s="5"/>
      <c r="B232" s="11" t="s">
        <v>16</v>
      </c>
      <c r="C232" s="12" t="s">
        <v>17</v>
      </c>
      <c r="D232" s="12" t="s">
        <v>18</v>
      </c>
      <c r="E232" s="12" t="s">
        <v>19</v>
      </c>
      <c r="F232" s="12" t="s">
        <v>20</v>
      </c>
      <c r="G232" s="11" t="s">
        <v>7</v>
      </c>
      <c r="H232" s="12" t="s">
        <v>21</v>
      </c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pans="1:28" ht="12.75">
      <c r="A233" s="5"/>
      <c r="B233" s="5"/>
      <c r="C233" s="5"/>
      <c r="D233" s="5"/>
      <c r="E233" s="5"/>
      <c r="F233" s="5"/>
      <c r="G233" s="5"/>
      <c r="H233" s="5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spans="1:28" ht="12.75">
      <c r="A234" s="7">
        <v>100</v>
      </c>
      <c r="B234" s="5" t="s">
        <v>22</v>
      </c>
      <c r="C234" s="8">
        <v>0</v>
      </c>
      <c r="D234" s="8">
        <v>0</v>
      </c>
      <c r="E234" s="8">
        <v>0</v>
      </c>
      <c r="F234" s="8">
        <v>0</v>
      </c>
      <c r="G234" s="8">
        <f aca="true" t="shared" si="35" ref="G234:G246">F234-E234</f>
        <v>0</v>
      </c>
      <c r="H234" s="10">
        <v>0</v>
      </c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 spans="1:28" ht="12.75">
      <c r="A235" s="7">
        <v>200</v>
      </c>
      <c r="B235" s="5" t="s">
        <v>10</v>
      </c>
      <c r="C235" s="8">
        <v>0</v>
      </c>
      <c r="D235" s="8">
        <v>0</v>
      </c>
      <c r="E235" s="8">
        <v>0</v>
      </c>
      <c r="F235" s="8">
        <v>0</v>
      </c>
      <c r="G235" s="8">
        <f t="shared" si="35"/>
        <v>0</v>
      </c>
      <c r="H235" s="10">
        <v>0</v>
      </c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</row>
    <row r="236" spans="1:28" ht="12.75">
      <c r="A236" s="7">
        <v>300</v>
      </c>
      <c r="B236" s="5" t="s">
        <v>23</v>
      </c>
      <c r="C236" s="8">
        <v>0</v>
      </c>
      <c r="D236" s="8">
        <v>0</v>
      </c>
      <c r="E236" s="8">
        <v>0</v>
      </c>
      <c r="F236" s="8">
        <v>0</v>
      </c>
      <c r="G236" s="8">
        <f t="shared" si="35"/>
        <v>0</v>
      </c>
      <c r="H236" s="10">
        <v>0</v>
      </c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</row>
    <row r="237" spans="1:28" ht="12.75">
      <c r="A237" s="7">
        <v>400</v>
      </c>
      <c r="B237" s="5" t="s">
        <v>88</v>
      </c>
      <c r="C237" s="8">
        <v>0</v>
      </c>
      <c r="D237" s="8">
        <v>0</v>
      </c>
      <c r="E237" s="8">
        <v>0</v>
      </c>
      <c r="F237" s="8">
        <v>0</v>
      </c>
      <c r="G237" s="8">
        <f t="shared" si="35"/>
        <v>0</v>
      </c>
      <c r="H237" s="10">
        <v>0</v>
      </c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</row>
    <row r="238" spans="1:28" ht="12.75">
      <c r="A238" s="7">
        <v>561</v>
      </c>
      <c r="B238" s="5" t="s">
        <v>25</v>
      </c>
      <c r="C238" s="8">
        <v>0</v>
      </c>
      <c r="D238" s="8">
        <v>0</v>
      </c>
      <c r="E238" s="8">
        <v>0</v>
      </c>
      <c r="F238" s="8">
        <v>0</v>
      </c>
      <c r="G238" s="8">
        <f t="shared" si="35"/>
        <v>0</v>
      </c>
      <c r="H238" s="10">
        <v>0</v>
      </c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</row>
    <row r="239" spans="1:28" ht="12.75">
      <c r="A239" s="7">
        <v>593</v>
      </c>
      <c r="B239" s="5" t="s">
        <v>26</v>
      </c>
      <c r="C239" s="8">
        <v>0</v>
      </c>
      <c r="D239" s="8">
        <v>0</v>
      </c>
      <c r="E239" s="8">
        <v>0</v>
      </c>
      <c r="F239" s="8">
        <v>0</v>
      </c>
      <c r="G239" s="8">
        <f t="shared" si="35"/>
        <v>0</v>
      </c>
      <c r="H239" s="10">
        <v>0</v>
      </c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</row>
    <row r="240" spans="1:28" ht="12.75">
      <c r="A240" s="7">
        <v>566</v>
      </c>
      <c r="B240" s="5" t="s">
        <v>27</v>
      </c>
      <c r="C240" s="8">
        <v>0</v>
      </c>
      <c r="D240" s="8">
        <v>0</v>
      </c>
      <c r="E240" s="8">
        <v>0</v>
      </c>
      <c r="F240" s="8">
        <v>0</v>
      </c>
      <c r="G240" s="8">
        <f t="shared" si="35"/>
        <v>0</v>
      </c>
      <c r="H240" s="10">
        <v>0</v>
      </c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</row>
    <row r="241" spans="1:28" ht="12.75">
      <c r="A241" s="7">
        <v>500</v>
      </c>
      <c r="B241" s="5" t="s">
        <v>28</v>
      </c>
      <c r="C241" s="8">
        <v>0</v>
      </c>
      <c r="D241" s="8">
        <v>0</v>
      </c>
      <c r="E241" s="8">
        <v>0</v>
      </c>
      <c r="F241" s="8">
        <v>0</v>
      </c>
      <c r="G241" s="8">
        <f t="shared" si="35"/>
        <v>0</v>
      </c>
      <c r="H241" s="10">
        <v>0</v>
      </c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</row>
    <row r="242" spans="1:28" ht="12.75">
      <c r="A242" s="7">
        <v>600</v>
      </c>
      <c r="B242" s="5" t="s">
        <v>29</v>
      </c>
      <c r="C242" s="8">
        <v>0</v>
      </c>
      <c r="D242" s="8">
        <v>0</v>
      </c>
      <c r="E242" s="8">
        <v>0</v>
      </c>
      <c r="F242" s="8">
        <v>0</v>
      </c>
      <c r="G242" s="8">
        <f t="shared" si="35"/>
        <v>0</v>
      </c>
      <c r="H242" s="10">
        <v>0</v>
      </c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</row>
    <row r="243" spans="1:28" ht="12.75">
      <c r="A243" s="7">
        <v>700</v>
      </c>
      <c r="B243" s="5" t="s">
        <v>30</v>
      </c>
      <c r="C243" s="8">
        <v>0</v>
      </c>
      <c r="D243" s="8">
        <v>0</v>
      </c>
      <c r="E243" s="8">
        <v>0</v>
      </c>
      <c r="F243" s="8">
        <v>0</v>
      </c>
      <c r="G243" s="8">
        <f t="shared" si="35"/>
        <v>0</v>
      </c>
      <c r="H243" s="10">
        <v>0</v>
      </c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</row>
    <row r="244" spans="1:28" ht="12.75">
      <c r="A244" s="7">
        <v>800</v>
      </c>
      <c r="B244" s="5" t="s">
        <v>31</v>
      </c>
      <c r="C244" s="8">
        <v>0</v>
      </c>
      <c r="D244" s="8">
        <v>0</v>
      </c>
      <c r="E244" s="8">
        <v>0</v>
      </c>
      <c r="F244" s="8">
        <v>0</v>
      </c>
      <c r="G244" s="8">
        <f t="shared" si="35"/>
        <v>0</v>
      </c>
      <c r="H244" s="10">
        <v>0</v>
      </c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</row>
    <row r="245" spans="1:28" ht="12.75">
      <c r="A245" s="7">
        <v>897</v>
      </c>
      <c r="B245" s="5" t="s">
        <v>89</v>
      </c>
      <c r="C245" s="8">
        <v>0</v>
      </c>
      <c r="D245" s="8">
        <v>0</v>
      </c>
      <c r="E245" s="8">
        <v>0</v>
      </c>
      <c r="F245" s="8">
        <v>0</v>
      </c>
      <c r="G245" s="8">
        <f t="shared" si="35"/>
        <v>0</v>
      </c>
      <c r="H245" s="10">
        <v>0</v>
      </c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</row>
    <row r="246" spans="1:28" ht="12.75">
      <c r="A246" s="7">
        <v>900</v>
      </c>
      <c r="B246" s="5" t="s">
        <v>32</v>
      </c>
      <c r="C246" s="8">
        <v>0</v>
      </c>
      <c r="D246" s="8">
        <v>0</v>
      </c>
      <c r="E246" s="8">
        <v>0</v>
      </c>
      <c r="F246" s="8">
        <v>0</v>
      </c>
      <c r="G246" s="8">
        <f t="shared" si="35"/>
        <v>0</v>
      </c>
      <c r="H246" s="10">
        <v>0</v>
      </c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</row>
    <row r="247" spans="1:28" ht="12.75">
      <c r="A247" s="5"/>
      <c r="B247" s="5"/>
      <c r="C247" s="8">
        <f>SUM(C234:C246)</f>
        <v>0</v>
      </c>
      <c r="D247" s="8">
        <v>0</v>
      </c>
      <c r="E247" s="8">
        <f aca="true" t="shared" si="36" ref="E247:G247">SUM(E234:E246)</f>
        <v>0</v>
      </c>
      <c r="F247" s="8">
        <f t="shared" si="36"/>
        <v>0</v>
      </c>
      <c r="G247" s="8">
        <f t="shared" si="36"/>
        <v>0</v>
      </c>
      <c r="H247" s="10">
        <v>0</v>
      </c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</row>
    <row r="248" spans="1:28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</row>
    <row r="249" spans="1:28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</row>
    <row r="250" spans="1:28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</row>
    <row r="251" spans="1:28" ht="12.75">
      <c r="A251" s="2"/>
      <c r="B251" s="2" t="s">
        <v>90</v>
      </c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</row>
    <row r="252" spans="1:28" ht="12.75">
      <c r="A252" s="5"/>
      <c r="B252" s="11" t="s">
        <v>16</v>
      </c>
      <c r="C252" s="12" t="s">
        <v>17</v>
      </c>
      <c r="D252" s="12" t="s">
        <v>18</v>
      </c>
      <c r="E252" s="12" t="s">
        <v>19</v>
      </c>
      <c r="F252" s="12" t="s">
        <v>20</v>
      </c>
      <c r="G252" s="11" t="s">
        <v>7</v>
      </c>
      <c r="H252" s="12" t="s">
        <v>21</v>
      </c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</row>
    <row r="253" spans="1:28" ht="12.75">
      <c r="A253" s="5"/>
      <c r="B253" s="5"/>
      <c r="C253" s="5"/>
      <c r="D253" s="5"/>
      <c r="E253" s="5"/>
      <c r="F253" s="5"/>
      <c r="G253" s="5"/>
      <c r="H253" s="5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</row>
    <row r="254" spans="1:28" ht="12.75">
      <c r="A254" s="7">
        <v>100</v>
      </c>
      <c r="B254" s="5" t="s">
        <v>22</v>
      </c>
      <c r="C254" s="8">
        <v>0</v>
      </c>
      <c r="D254" s="8">
        <v>959.61</v>
      </c>
      <c r="E254" s="8">
        <v>0</v>
      </c>
      <c r="F254" s="8">
        <v>3500</v>
      </c>
      <c r="G254" s="8">
        <f aca="true" t="shared" si="37" ref="G254:G265">F254-E254</f>
        <v>3500</v>
      </c>
      <c r="H254" s="10">
        <v>0</v>
      </c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</row>
    <row r="255" spans="1:28" ht="12.75">
      <c r="A255" s="7">
        <v>200</v>
      </c>
      <c r="B255" s="5" t="s">
        <v>10</v>
      </c>
      <c r="C255" s="8">
        <v>0</v>
      </c>
      <c r="D255" s="8">
        <f>73.4+46.67+4.39+33.82</f>
        <v>158.28</v>
      </c>
      <c r="E255" s="8">
        <v>0</v>
      </c>
      <c r="F255" s="8">
        <f>267.75+236+54+28</f>
        <v>585.75</v>
      </c>
      <c r="G255" s="8">
        <f t="shared" si="37"/>
        <v>585.75</v>
      </c>
      <c r="H255" s="10">
        <v>0</v>
      </c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</row>
    <row r="256" spans="1:28" ht="12.75">
      <c r="A256" s="7">
        <v>300</v>
      </c>
      <c r="B256" s="5" t="s">
        <v>23</v>
      </c>
      <c r="C256" s="8">
        <v>0</v>
      </c>
      <c r="D256" s="8">
        <v>0</v>
      </c>
      <c r="E256" s="8">
        <v>0</v>
      </c>
      <c r="F256" s="8">
        <v>0</v>
      </c>
      <c r="G256" s="8">
        <f t="shared" si="37"/>
        <v>0</v>
      </c>
      <c r="H256" s="10">
        <v>0</v>
      </c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</row>
    <row r="257" spans="1:28" ht="12.75">
      <c r="A257" s="7">
        <v>300</v>
      </c>
      <c r="B257" s="5" t="s">
        <v>92</v>
      </c>
      <c r="C257" s="8">
        <v>0</v>
      </c>
      <c r="D257" s="8">
        <v>0</v>
      </c>
      <c r="E257" s="8">
        <v>0</v>
      </c>
      <c r="F257" s="8">
        <v>0</v>
      </c>
      <c r="G257" s="8">
        <f t="shared" si="37"/>
        <v>0</v>
      </c>
      <c r="H257" s="10">
        <v>0</v>
      </c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</row>
    <row r="258" spans="1:28" ht="12.75">
      <c r="A258" s="7">
        <v>561</v>
      </c>
      <c r="B258" s="5" t="s">
        <v>25</v>
      </c>
      <c r="C258" s="8">
        <v>0</v>
      </c>
      <c r="D258" s="8">
        <v>0</v>
      </c>
      <c r="E258" s="8">
        <v>0</v>
      </c>
      <c r="F258" s="8">
        <v>0</v>
      </c>
      <c r="G258" s="8">
        <f t="shared" si="37"/>
        <v>0</v>
      </c>
      <c r="H258" s="10">
        <v>0</v>
      </c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</row>
    <row r="259" spans="1:28" ht="12.75">
      <c r="A259" s="7">
        <v>593</v>
      </c>
      <c r="B259" s="5" t="s">
        <v>26</v>
      </c>
      <c r="C259" s="8">
        <v>0</v>
      </c>
      <c r="D259" s="8">
        <v>0</v>
      </c>
      <c r="E259" s="8">
        <v>0</v>
      </c>
      <c r="F259" s="8">
        <v>0</v>
      </c>
      <c r="G259" s="8">
        <f t="shared" si="37"/>
        <v>0</v>
      </c>
      <c r="H259" s="10">
        <v>0</v>
      </c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</row>
    <row r="260" spans="1:28" ht="12.75">
      <c r="A260" s="7">
        <v>566</v>
      </c>
      <c r="B260" s="5" t="s">
        <v>27</v>
      </c>
      <c r="C260" s="8">
        <v>0</v>
      </c>
      <c r="D260" s="8">
        <v>0</v>
      </c>
      <c r="E260" s="8">
        <v>0</v>
      </c>
      <c r="F260" s="8">
        <v>0</v>
      </c>
      <c r="G260" s="8">
        <f t="shared" si="37"/>
        <v>0</v>
      </c>
      <c r="H260" s="10">
        <v>0</v>
      </c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</row>
    <row r="261" spans="1:28" ht="12.75">
      <c r="A261" s="7">
        <v>500</v>
      </c>
      <c r="B261" s="5" t="s">
        <v>28</v>
      </c>
      <c r="C261" s="8">
        <v>0</v>
      </c>
      <c r="D261" s="8">
        <v>0</v>
      </c>
      <c r="E261" s="8">
        <v>0</v>
      </c>
      <c r="F261" s="8">
        <v>0</v>
      </c>
      <c r="G261" s="8">
        <f t="shared" si="37"/>
        <v>0</v>
      </c>
      <c r="H261" s="10">
        <v>0</v>
      </c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</row>
    <row r="262" spans="1:28" ht="12.75">
      <c r="A262" s="7">
        <v>600</v>
      </c>
      <c r="B262" s="5" t="s">
        <v>29</v>
      </c>
      <c r="C262" s="8">
        <v>0</v>
      </c>
      <c r="D262" s="8">
        <v>0</v>
      </c>
      <c r="E262" s="8">
        <v>0</v>
      </c>
      <c r="F262" s="8">
        <v>0</v>
      </c>
      <c r="G262" s="8">
        <f t="shared" si="37"/>
        <v>0</v>
      </c>
      <c r="H262" s="10">
        <v>0</v>
      </c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</row>
    <row r="263" spans="1:28" ht="12.75">
      <c r="A263" s="7">
        <v>700</v>
      </c>
      <c r="B263" s="5" t="s">
        <v>30</v>
      </c>
      <c r="C263" s="8">
        <v>0</v>
      </c>
      <c r="D263" s="8">
        <v>0</v>
      </c>
      <c r="E263" s="8">
        <v>0</v>
      </c>
      <c r="F263" s="8">
        <v>0</v>
      </c>
      <c r="G263" s="8">
        <f t="shared" si="37"/>
        <v>0</v>
      </c>
      <c r="H263" s="10">
        <v>0</v>
      </c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</row>
    <row r="264" spans="1:28" ht="12.75">
      <c r="A264" s="7">
        <v>800</v>
      </c>
      <c r="B264" s="5" t="s">
        <v>31</v>
      </c>
      <c r="C264" s="8">
        <v>0</v>
      </c>
      <c r="D264" s="8">
        <v>0</v>
      </c>
      <c r="E264" s="8">
        <v>0</v>
      </c>
      <c r="F264" s="8">
        <v>0</v>
      </c>
      <c r="G264" s="8">
        <f t="shared" si="37"/>
        <v>0</v>
      </c>
      <c r="H264" s="10">
        <v>0</v>
      </c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</row>
    <row r="265" spans="1:28" ht="12.75">
      <c r="A265" s="7">
        <v>900</v>
      </c>
      <c r="B265" s="5" t="s">
        <v>32</v>
      </c>
      <c r="C265" s="8">
        <v>0</v>
      </c>
      <c r="D265" s="8">
        <v>0</v>
      </c>
      <c r="E265" s="8">
        <v>0</v>
      </c>
      <c r="F265" s="8">
        <v>0</v>
      </c>
      <c r="G265" s="8">
        <f t="shared" si="37"/>
        <v>0</v>
      </c>
      <c r="H265" s="10">
        <v>0</v>
      </c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</row>
    <row r="266" spans="1:28" ht="12.75">
      <c r="A266" s="5"/>
      <c r="B266" s="5"/>
      <c r="C266" s="8">
        <f aca="true" t="shared" si="38" ref="C266:G266">SUM(C254:C265)</f>
        <v>0</v>
      </c>
      <c r="D266" s="8">
        <f t="shared" si="38"/>
        <v>1117.89</v>
      </c>
      <c r="E266" s="8">
        <f t="shared" si="38"/>
        <v>0</v>
      </c>
      <c r="F266" s="8">
        <f t="shared" si="38"/>
        <v>4085.75</v>
      </c>
      <c r="G266" s="8">
        <f t="shared" si="38"/>
        <v>4085.75</v>
      </c>
      <c r="H266" s="10">
        <v>0</v>
      </c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</row>
    <row r="267" spans="1:28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</row>
    <row r="268" spans="1:28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</row>
    <row r="269" spans="1:28" ht="12.75">
      <c r="A269" s="2"/>
      <c r="B269" s="2" t="s">
        <v>61</v>
      </c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</row>
    <row r="270" spans="1:28" ht="12.75">
      <c r="A270" s="5"/>
      <c r="B270" s="11" t="s">
        <v>16</v>
      </c>
      <c r="C270" s="12" t="s">
        <v>17</v>
      </c>
      <c r="D270" s="12" t="s">
        <v>18</v>
      </c>
      <c r="E270" s="12" t="s">
        <v>19</v>
      </c>
      <c r="F270" s="12" t="s">
        <v>20</v>
      </c>
      <c r="G270" s="11" t="s">
        <v>7</v>
      </c>
      <c r="H270" s="12" t="s">
        <v>21</v>
      </c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</row>
    <row r="271" spans="1:28" ht="12.75">
      <c r="A271" s="5"/>
      <c r="B271" s="5"/>
      <c r="C271" s="5"/>
      <c r="D271" s="5"/>
      <c r="E271" s="5"/>
      <c r="F271" s="5"/>
      <c r="G271" s="5"/>
      <c r="H271" s="5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</row>
    <row r="272" spans="1:28" ht="12.75">
      <c r="A272" s="7">
        <v>100</v>
      </c>
      <c r="B272" s="5" t="s">
        <v>22</v>
      </c>
      <c r="C272" s="8">
        <v>39083.88</v>
      </c>
      <c r="D272" s="8">
        <v>32829.84</v>
      </c>
      <c r="E272" s="8">
        <v>35636</v>
      </c>
      <c r="F272" s="8">
        <v>36898</v>
      </c>
      <c r="G272" s="8">
        <f aca="true" t="shared" si="39" ref="G272:G283">F272-E272</f>
        <v>1262</v>
      </c>
      <c r="H272" s="10">
        <f aca="true" t="shared" si="40" ref="H272:H273">G272/E272</f>
        <v>0.035413626669659894</v>
      </c>
      <c r="I272" s="2" t="s">
        <v>112</v>
      </c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</row>
    <row r="273" spans="1:28" ht="12.75">
      <c r="A273" s="7">
        <v>200</v>
      </c>
      <c r="B273" s="5" t="s">
        <v>10</v>
      </c>
      <c r="C273" s="8">
        <v>5247.21</v>
      </c>
      <c r="D273" s="8">
        <v>4425.87</v>
      </c>
      <c r="E273" s="8">
        <v>4668.69</v>
      </c>
      <c r="F273" s="8">
        <v>21105.45</v>
      </c>
      <c r="G273" s="8">
        <f t="shared" si="39"/>
        <v>16436.760000000002</v>
      </c>
      <c r="H273" s="10">
        <f t="shared" si="40"/>
        <v>3.5206364097851868</v>
      </c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</row>
    <row r="274" spans="1:28" ht="12.75">
      <c r="A274" s="7">
        <v>300</v>
      </c>
      <c r="B274" s="5" t="s">
        <v>23</v>
      </c>
      <c r="C274" s="8">
        <v>3696.88</v>
      </c>
      <c r="D274" s="8">
        <v>0</v>
      </c>
      <c r="E274" s="8">
        <v>1500</v>
      </c>
      <c r="F274" s="8">
        <v>0</v>
      </c>
      <c r="G274" s="8">
        <f t="shared" si="39"/>
        <v>-1500</v>
      </c>
      <c r="H274" s="10">
        <v>0</v>
      </c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</row>
    <row r="275" spans="1:28" ht="12.75">
      <c r="A275" s="7">
        <v>400</v>
      </c>
      <c r="B275" s="5" t="s">
        <v>24</v>
      </c>
      <c r="C275" s="8">
        <v>580.86</v>
      </c>
      <c r="D275" s="8">
        <v>373</v>
      </c>
      <c r="E275" s="8">
        <v>4000</v>
      </c>
      <c r="F275" s="8">
        <v>2750</v>
      </c>
      <c r="G275" s="8">
        <f t="shared" si="39"/>
        <v>-1250</v>
      </c>
      <c r="H275" s="10">
        <v>0</v>
      </c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</row>
    <row r="276" spans="1:28" ht="12.75">
      <c r="A276" s="7">
        <v>561</v>
      </c>
      <c r="B276" s="5" t="s">
        <v>25</v>
      </c>
      <c r="C276" s="8">
        <v>0</v>
      </c>
      <c r="D276" s="8">
        <v>0</v>
      </c>
      <c r="E276" s="8">
        <v>0</v>
      </c>
      <c r="F276" s="8">
        <v>0</v>
      </c>
      <c r="G276" s="8">
        <f t="shared" si="39"/>
        <v>0</v>
      </c>
      <c r="H276" s="10">
        <v>0</v>
      </c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</row>
    <row r="277" spans="1:28" ht="12.75">
      <c r="A277" s="7">
        <v>593</v>
      </c>
      <c r="B277" s="5" t="s">
        <v>26</v>
      </c>
      <c r="C277" s="8">
        <v>0</v>
      </c>
      <c r="D277" s="8">
        <v>0</v>
      </c>
      <c r="E277" s="8">
        <v>0</v>
      </c>
      <c r="F277" s="8">
        <v>0</v>
      </c>
      <c r="G277" s="8">
        <f t="shared" si="39"/>
        <v>0</v>
      </c>
      <c r="H277" s="10">
        <v>0</v>
      </c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</row>
    <row r="278" spans="1:28" ht="12.75">
      <c r="A278" s="7">
        <v>566</v>
      </c>
      <c r="B278" s="5" t="s">
        <v>27</v>
      </c>
      <c r="C278" s="8">
        <v>0</v>
      </c>
      <c r="D278" s="8">
        <v>0</v>
      </c>
      <c r="E278" s="8">
        <v>0</v>
      </c>
      <c r="F278" s="8">
        <v>0</v>
      </c>
      <c r="G278" s="8">
        <f t="shared" si="39"/>
        <v>0</v>
      </c>
      <c r="H278" s="10">
        <v>0</v>
      </c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</row>
    <row r="279" spans="1:28" ht="12.75">
      <c r="A279" s="7">
        <v>500</v>
      </c>
      <c r="B279" s="5" t="s">
        <v>28</v>
      </c>
      <c r="C279" s="8">
        <v>78.2</v>
      </c>
      <c r="D279" s="8">
        <v>0</v>
      </c>
      <c r="E279" s="8">
        <v>0</v>
      </c>
      <c r="F279" s="8">
        <v>0</v>
      </c>
      <c r="G279" s="8">
        <f t="shared" si="39"/>
        <v>0</v>
      </c>
      <c r="H279" s="10">
        <v>0</v>
      </c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</row>
    <row r="280" spans="1:28" ht="12.75">
      <c r="A280" s="7">
        <v>600</v>
      </c>
      <c r="B280" s="5" t="s">
        <v>29</v>
      </c>
      <c r="C280" s="8">
        <v>70170.56</v>
      </c>
      <c r="D280" s="8">
        <v>63731.93</v>
      </c>
      <c r="E280" s="8">
        <v>46906</v>
      </c>
      <c r="F280" s="8">
        <v>55000</v>
      </c>
      <c r="G280" s="8">
        <f t="shared" si="39"/>
        <v>8094</v>
      </c>
      <c r="H280" s="10">
        <f>G280/E280</f>
        <v>0.1725578817208886</v>
      </c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</row>
    <row r="281" spans="1:28" ht="12.75">
      <c r="A281" s="7">
        <v>700</v>
      </c>
      <c r="B281" s="5" t="s">
        <v>30</v>
      </c>
      <c r="C281" s="8">
        <v>0</v>
      </c>
      <c r="D281" s="8">
        <v>0</v>
      </c>
      <c r="E281" s="8">
        <v>0</v>
      </c>
      <c r="F281" s="8">
        <v>0</v>
      </c>
      <c r="G281" s="8">
        <f t="shared" si="39"/>
        <v>0</v>
      </c>
      <c r="H281" s="10">
        <v>0</v>
      </c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</row>
    <row r="282" spans="1:28" ht="12.75">
      <c r="A282" s="7">
        <v>800</v>
      </c>
      <c r="B282" s="5" t="s">
        <v>31</v>
      </c>
      <c r="C282" s="8">
        <v>755</v>
      </c>
      <c r="D282" s="8">
        <v>0</v>
      </c>
      <c r="E282" s="8">
        <v>0</v>
      </c>
      <c r="F282" s="8">
        <v>0</v>
      </c>
      <c r="G282" s="8">
        <f t="shared" si="39"/>
        <v>0</v>
      </c>
      <c r="H282" s="10">
        <v>0</v>
      </c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</row>
    <row r="283" spans="1:28" ht="12.75">
      <c r="A283" s="7">
        <v>900</v>
      </c>
      <c r="B283" s="5" t="s">
        <v>32</v>
      </c>
      <c r="C283" s="8">
        <v>0</v>
      </c>
      <c r="D283" s="8">
        <v>0</v>
      </c>
      <c r="E283" s="8">
        <v>0</v>
      </c>
      <c r="F283" s="8">
        <v>0</v>
      </c>
      <c r="G283" s="8">
        <f t="shared" si="39"/>
        <v>0</v>
      </c>
      <c r="H283" s="10">
        <v>0</v>
      </c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</row>
    <row r="284" spans="1:28" ht="12.75">
      <c r="A284" s="5"/>
      <c r="B284" s="5"/>
      <c r="C284" s="8">
        <f aca="true" t="shared" si="41" ref="C284:G284">SUM(C272:C283)</f>
        <v>119612.59</v>
      </c>
      <c r="D284" s="8">
        <f t="shared" si="41"/>
        <v>101360.64</v>
      </c>
      <c r="E284" s="8">
        <f t="shared" si="41"/>
        <v>92710.69</v>
      </c>
      <c r="F284" s="8">
        <f t="shared" si="41"/>
        <v>115753.45</v>
      </c>
      <c r="G284" s="8">
        <f t="shared" si="41"/>
        <v>23042.760000000002</v>
      </c>
      <c r="H284" s="10">
        <f>G284/E284</f>
        <v>0.2485448010364285</v>
      </c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</row>
    <row r="285" spans="1:28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</row>
    <row r="286" spans="1:28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</row>
    <row r="287" spans="1:28" ht="12.75">
      <c r="A287" s="2"/>
      <c r="B287" s="2" t="s">
        <v>94</v>
      </c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</row>
    <row r="288" spans="1:28" ht="12.75">
      <c r="A288" s="5"/>
      <c r="B288" s="11" t="s">
        <v>16</v>
      </c>
      <c r="C288" s="12" t="s">
        <v>17</v>
      </c>
      <c r="D288" s="12" t="s">
        <v>18</v>
      </c>
      <c r="E288" s="12" t="s">
        <v>19</v>
      </c>
      <c r="F288" s="12" t="s">
        <v>20</v>
      </c>
      <c r="G288" s="11" t="s">
        <v>7</v>
      </c>
      <c r="H288" s="12" t="s">
        <v>21</v>
      </c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</row>
    <row r="289" spans="1:28" ht="12.75">
      <c r="A289" s="5"/>
      <c r="B289" s="5"/>
      <c r="C289" s="5"/>
      <c r="D289" s="5"/>
      <c r="E289" s="5"/>
      <c r="F289" s="5"/>
      <c r="G289" s="5"/>
      <c r="H289" s="5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</row>
    <row r="290" spans="1:28" ht="12.75">
      <c r="A290" s="7">
        <v>100</v>
      </c>
      <c r="B290" s="5" t="s">
        <v>22</v>
      </c>
      <c r="C290" s="8">
        <v>0</v>
      </c>
      <c r="D290" s="8">
        <v>0</v>
      </c>
      <c r="E290" s="8">
        <v>0</v>
      </c>
      <c r="F290" s="8">
        <v>0</v>
      </c>
      <c r="G290" s="8">
        <f aca="true" t="shared" si="42" ref="G290:G301">F290-E290</f>
        <v>0</v>
      </c>
      <c r="H290" s="10">
        <v>0</v>
      </c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</row>
    <row r="291" spans="1:28" ht="12.75">
      <c r="A291" s="7">
        <v>200</v>
      </c>
      <c r="B291" s="5" t="s">
        <v>10</v>
      </c>
      <c r="C291" s="8">
        <v>0</v>
      </c>
      <c r="D291" s="8">
        <v>0</v>
      </c>
      <c r="E291" s="8">
        <v>0</v>
      </c>
      <c r="F291" s="8">
        <v>0</v>
      </c>
      <c r="G291" s="8">
        <f t="shared" si="42"/>
        <v>0</v>
      </c>
      <c r="H291" s="10">
        <v>0</v>
      </c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</row>
    <row r="292" spans="1:28" ht="12.75">
      <c r="A292" s="7">
        <v>300</v>
      </c>
      <c r="B292" s="5" t="s">
        <v>23</v>
      </c>
      <c r="C292" s="8">
        <v>0</v>
      </c>
      <c r="D292" s="8">
        <v>0</v>
      </c>
      <c r="E292" s="8">
        <v>0</v>
      </c>
      <c r="F292" s="8">
        <v>0</v>
      </c>
      <c r="G292" s="8">
        <f t="shared" si="42"/>
        <v>0</v>
      </c>
      <c r="H292" s="10">
        <v>0</v>
      </c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</row>
    <row r="293" spans="1:28" ht="12.75">
      <c r="A293" s="7">
        <v>400</v>
      </c>
      <c r="B293" s="5" t="s">
        <v>24</v>
      </c>
      <c r="C293" s="8">
        <v>0</v>
      </c>
      <c r="D293" s="8">
        <v>0</v>
      </c>
      <c r="E293" s="8">
        <v>0</v>
      </c>
      <c r="F293" s="8">
        <v>0</v>
      </c>
      <c r="G293" s="8">
        <f t="shared" si="42"/>
        <v>0</v>
      </c>
      <c r="H293" s="10">
        <v>0</v>
      </c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</row>
    <row r="294" spans="1:28" ht="12.75">
      <c r="A294" s="7">
        <v>561</v>
      </c>
      <c r="B294" s="5" t="s">
        <v>25</v>
      </c>
      <c r="C294" s="8">
        <v>0</v>
      </c>
      <c r="D294" s="8">
        <v>0</v>
      </c>
      <c r="E294" s="8">
        <v>0</v>
      </c>
      <c r="F294" s="8">
        <v>0</v>
      </c>
      <c r="G294" s="8">
        <f t="shared" si="42"/>
        <v>0</v>
      </c>
      <c r="H294" s="10">
        <v>0</v>
      </c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</row>
    <row r="295" spans="1:28" ht="12.75">
      <c r="A295" s="7">
        <v>593</v>
      </c>
      <c r="B295" s="5" t="s">
        <v>26</v>
      </c>
      <c r="C295" s="8">
        <v>0</v>
      </c>
      <c r="D295" s="8">
        <v>0</v>
      </c>
      <c r="E295" s="8">
        <v>0</v>
      </c>
      <c r="F295" s="8">
        <v>0</v>
      </c>
      <c r="G295" s="8">
        <f t="shared" si="42"/>
        <v>0</v>
      </c>
      <c r="H295" s="10">
        <v>0</v>
      </c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</row>
    <row r="296" spans="1:28" ht="12.75">
      <c r="A296" s="7">
        <v>566</v>
      </c>
      <c r="B296" s="5" t="s">
        <v>27</v>
      </c>
      <c r="C296" s="8">
        <v>0</v>
      </c>
      <c r="D296" s="8">
        <v>0</v>
      </c>
      <c r="E296" s="8">
        <v>0</v>
      </c>
      <c r="F296" s="8">
        <v>0</v>
      </c>
      <c r="G296" s="8">
        <f t="shared" si="42"/>
        <v>0</v>
      </c>
      <c r="H296" s="10">
        <v>0</v>
      </c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</row>
    <row r="297" spans="1:28" ht="12.75">
      <c r="A297" s="7">
        <v>500</v>
      </c>
      <c r="B297" s="5" t="s">
        <v>28</v>
      </c>
      <c r="C297" s="8">
        <v>0</v>
      </c>
      <c r="D297" s="8">
        <v>0</v>
      </c>
      <c r="E297" s="8">
        <v>0</v>
      </c>
      <c r="F297" s="8">
        <v>0</v>
      </c>
      <c r="G297" s="8">
        <f t="shared" si="42"/>
        <v>0</v>
      </c>
      <c r="H297" s="10">
        <v>0</v>
      </c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</row>
    <row r="298" spans="1:28" ht="12.75">
      <c r="A298" s="7">
        <v>600</v>
      </c>
      <c r="B298" s="5" t="s">
        <v>29</v>
      </c>
      <c r="C298" s="8">
        <v>0</v>
      </c>
      <c r="D298" s="8">
        <v>0</v>
      </c>
      <c r="E298" s="8">
        <v>0</v>
      </c>
      <c r="F298" s="8">
        <v>0</v>
      </c>
      <c r="G298" s="8">
        <f t="shared" si="42"/>
        <v>0</v>
      </c>
      <c r="H298" s="10">
        <v>0</v>
      </c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</row>
    <row r="299" spans="1:28" ht="12.75">
      <c r="A299" s="7">
        <v>700</v>
      </c>
      <c r="B299" s="5" t="s">
        <v>30</v>
      </c>
      <c r="C299" s="8">
        <v>0</v>
      </c>
      <c r="D299" s="8">
        <v>0</v>
      </c>
      <c r="E299" s="8">
        <v>0</v>
      </c>
      <c r="F299" s="8">
        <v>0</v>
      </c>
      <c r="G299" s="8">
        <f t="shared" si="42"/>
        <v>0</v>
      </c>
      <c r="H299" s="10">
        <v>0</v>
      </c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</row>
    <row r="300" spans="1:28" ht="12.75">
      <c r="A300" s="7">
        <v>800</v>
      </c>
      <c r="B300" s="5" t="s">
        <v>31</v>
      </c>
      <c r="C300" s="8">
        <v>0</v>
      </c>
      <c r="D300" s="8">
        <v>0</v>
      </c>
      <c r="E300" s="8">
        <v>0</v>
      </c>
      <c r="F300" s="8">
        <v>0</v>
      </c>
      <c r="G300" s="8">
        <f t="shared" si="42"/>
        <v>0</v>
      </c>
      <c r="H300" s="10">
        <v>0</v>
      </c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</row>
    <row r="301" spans="1:28" ht="12.75">
      <c r="A301" s="7">
        <v>900</v>
      </c>
      <c r="B301" s="5" t="s">
        <v>32</v>
      </c>
      <c r="C301" s="8">
        <v>0</v>
      </c>
      <c r="D301" s="8">
        <v>0</v>
      </c>
      <c r="E301" s="8">
        <v>0</v>
      </c>
      <c r="F301" s="8">
        <v>0</v>
      </c>
      <c r="G301" s="8">
        <f t="shared" si="42"/>
        <v>0</v>
      </c>
      <c r="H301" s="10">
        <v>0</v>
      </c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</row>
    <row r="302" spans="1:28" ht="12.75">
      <c r="A302" s="5"/>
      <c r="B302" s="5"/>
      <c r="C302" s="8">
        <f>SUM(C290:C301)</f>
        <v>0</v>
      </c>
      <c r="D302" s="8">
        <v>0</v>
      </c>
      <c r="E302" s="8">
        <f aca="true" t="shared" si="43" ref="E302:G302">SUM(E290:E301)</f>
        <v>0</v>
      </c>
      <c r="F302" s="8">
        <f t="shared" si="43"/>
        <v>0</v>
      </c>
      <c r="G302" s="8">
        <f t="shared" si="43"/>
        <v>0</v>
      </c>
      <c r="H302" s="10">
        <v>0</v>
      </c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</row>
    <row r="303" spans="1:28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</row>
    <row r="304" spans="1:28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</row>
    <row r="305" spans="1:28" ht="12.75">
      <c r="A305" s="2"/>
      <c r="B305" s="2"/>
      <c r="C305" s="14">
        <f aca="true" t="shared" si="44" ref="C305:F305">C302+C284+C266+C247+C228+C210+C192+C174+C156+C138+C120+C102+C84+C66+C48+C30</f>
        <v>3049973.11</v>
      </c>
      <c r="D305" s="14">
        <f t="shared" si="44"/>
        <v>2872791.5799999996</v>
      </c>
      <c r="E305" s="14">
        <f t="shared" si="44"/>
        <v>3203742.6700000004</v>
      </c>
      <c r="F305" s="14">
        <f t="shared" si="44"/>
        <v>3397148.69</v>
      </c>
      <c r="G305" s="14">
        <f>F305-E305</f>
        <v>193406.01999999955</v>
      </c>
      <c r="H305" s="15">
        <f>G305/E305</f>
        <v>0.06036877487416913</v>
      </c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</row>
    <row r="306" spans="1:28" ht="12.75">
      <c r="A306" s="2"/>
      <c r="B306" s="2"/>
      <c r="C306" s="2"/>
      <c r="D306" s="2"/>
      <c r="E306" s="2"/>
      <c r="F306" s="14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</row>
    <row r="307" spans="1:28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</row>
    <row r="308" spans="1:28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</row>
    <row r="309" spans="1:28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</row>
    <row r="310" spans="1:28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</row>
    <row r="311" spans="1:28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</row>
    <row r="312" spans="1:28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</row>
    <row r="313" spans="1:28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</row>
    <row r="314" spans="1:28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</row>
    <row r="315" spans="1:28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</row>
    <row r="316" spans="1:28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</row>
    <row r="317" spans="1:28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</row>
    <row r="318" spans="1:28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</row>
    <row r="319" spans="1:28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</row>
    <row r="320" spans="1:28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</row>
    <row r="321" spans="1:28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</row>
    <row r="322" spans="1:28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</row>
    <row r="323" spans="1:28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</row>
    <row r="324" spans="1:28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</row>
    <row r="325" spans="1:28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</row>
    <row r="326" spans="1:28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</row>
    <row r="327" spans="1:28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</row>
    <row r="328" spans="1:28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</row>
    <row r="329" spans="1:28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</row>
    <row r="330" spans="1:28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</row>
    <row r="331" spans="1:28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</row>
    <row r="332" spans="1:28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</row>
    <row r="333" spans="1:28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</row>
    <row r="334" spans="1:28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</row>
    <row r="335" spans="1:28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</row>
    <row r="336" spans="1:28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</row>
    <row r="337" spans="1:28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</row>
    <row r="338" spans="1:28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</row>
    <row r="339" spans="1:28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</row>
    <row r="340" spans="1:28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</row>
    <row r="341" spans="1:28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</row>
    <row r="342" spans="1:28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</row>
    <row r="343" spans="1:28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</row>
    <row r="344" spans="1:28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</row>
    <row r="345" spans="1:28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</row>
    <row r="346" spans="1:28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</row>
    <row r="347" spans="1:28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</row>
    <row r="348" spans="1:28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</row>
    <row r="349" spans="1:28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</row>
    <row r="350" spans="1:28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</row>
    <row r="351" spans="1:28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</row>
    <row r="352" spans="1:28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</row>
    <row r="353" spans="1:28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</row>
    <row r="354" spans="1:28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</row>
    <row r="355" spans="1:28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</row>
    <row r="356" spans="1:28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</row>
    <row r="357" spans="1:28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</row>
    <row r="358" spans="1:28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</row>
    <row r="359" spans="1:28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</row>
    <row r="360" spans="1:28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</row>
    <row r="361" spans="1:28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</row>
    <row r="362" spans="1:28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</row>
    <row r="363" spans="1:28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</row>
    <row r="364" spans="1:28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</row>
    <row r="365" spans="1:28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</row>
    <row r="366" spans="1:28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</row>
    <row r="367" spans="1:28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</row>
    <row r="368" spans="1:28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</row>
    <row r="369" spans="1:28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</row>
    <row r="370" spans="1:28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</row>
    <row r="371" spans="1:28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</row>
    <row r="372" spans="1:28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</row>
    <row r="373" spans="1:28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</row>
    <row r="374" spans="1:28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</row>
    <row r="375" spans="1:28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</row>
    <row r="376" spans="1:28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</row>
    <row r="377" spans="1:28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</row>
    <row r="378" spans="1:28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</row>
    <row r="379" spans="1:28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</row>
    <row r="380" spans="1:28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</row>
    <row r="381" spans="1:28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</row>
    <row r="382" spans="1:28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</row>
    <row r="383" spans="1:28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</row>
    <row r="384" spans="1:28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</row>
    <row r="385" spans="1:28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</row>
    <row r="386" spans="1:28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</row>
    <row r="387" spans="1:28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</row>
    <row r="388" spans="1:28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</row>
    <row r="389" spans="1:28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</row>
    <row r="390" spans="1:28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</row>
    <row r="391" spans="1:28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</row>
    <row r="392" spans="1:28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</row>
    <row r="393" spans="1:28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</row>
    <row r="394" spans="1:28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</row>
    <row r="395" spans="1:28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</row>
    <row r="396" spans="1:28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</row>
    <row r="397" spans="1:28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</row>
    <row r="398" spans="1:28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</row>
    <row r="399" spans="1:28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</row>
    <row r="400" spans="1:28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</row>
    <row r="401" spans="1:28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</row>
    <row r="402" spans="1:28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</row>
    <row r="403" spans="1:28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</row>
    <row r="404" spans="1:28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</row>
    <row r="405" spans="1:28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</row>
    <row r="406" spans="1:28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</row>
    <row r="407" spans="1:28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</row>
    <row r="408" spans="1:28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</row>
    <row r="409" spans="1:28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</row>
    <row r="410" spans="1:28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</row>
    <row r="411" spans="1:28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</row>
    <row r="412" spans="1:28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</row>
    <row r="413" spans="1:28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</row>
    <row r="414" spans="1:28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</row>
    <row r="415" spans="1:28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</row>
    <row r="416" spans="1:28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</row>
    <row r="417" spans="1:28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</row>
    <row r="418" spans="1:28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</row>
    <row r="419" spans="1:28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</row>
    <row r="420" spans="1:28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</row>
    <row r="421" spans="1:28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</row>
    <row r="422" spans="1:28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</row>
    <row r="423" spans="1:28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</row>
    <row r="424" spans="1:28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</row>
    <row r="425" spans="1:28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</row>
    <row r="426" spans="1:28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</row>
    <row r="427" spans="1:28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</row>
    <row r="428" spans="1:28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</row>
    <row r="429" spans="1:28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</row>
    <row r="430" spans="1:28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</row>
    <row r="431" spans="1:28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</row>
    <row r="432" spans="1:28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</row>
    <row r="433" spans="1:28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</row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433"/>
  <sheetViews>
    <sheetView workbookViewId="0" topLeftCell="A1">
      <selection activeCell="A1" sqref="A1"/>
    </sheetView>
  </sheetViews>
  <sheetFormatPr defaultColWidth="13.7109375" defaultRowHeight="15.75" customHeight="1"/>
  <cols>
    <col min="1" max="1" width="7.57421875" style="1" customWidth="1"/>
    <col min="2" max="2" width="31.00390625" style="1" customWidth="1"/>
    <col min="3" max="16384" width="14.421875" style="1" customWidth="1"/>
  </cols>
  <sheetData>
    <row r="1" spans="1:28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2.75">
      <c r="A3" s="2"/>
      <c r="B3" s="2"/>
      <c r="C3" s="2"/>
      <c r="D3" s="3"/>
      <c r="E3" s="3" t="s">
        <v>113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2.75">
      <c r="A4" s="2"/>
      <c r="B4" s="2"/>
      <c r="C4" s="2"/>
      <c r="D4" s="4"/>
      <c r="E4" s="4" t="s">
        <v>1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2.75">
      <c r="A5" s="2"/>
      <c r="B5" s="2"/>
      <c r="C5" s="2"/>
      <c r="D5" s="3"/>
      <c r="E5" s="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2.75">
      <c r="A7" s="5"/>
      <c r="B7" s="5" t="s">
        <v>2</v>
      </c>
      <c r="C7" s="5"/>
      <c r="D7" s="5"/>
      <c r="E7" s="5"/>
      <c r="F7" s="5"/>
      <c r="G7" s="5" t="s">
        <v>7</v>
      </c>
      <c r="H7" s="5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2.75">
      <c r="A8" s="5"/>
      <c r="B8" s="5"/>
      <c r="C8" s="6" t="s">
        <v>4</v>
      </c>
      <c r="D8" s="6" t="s">
        <v>5</v>
      </c>
      <c r="E8" s="6" t="s">
        <v>6</v>
      </c>
      <c r="F8" s="6" t="s">
        <v>1</v>
      </c>
      <c r="G8" s="6"/>
      <c r="H8" s="6" t="s">
        <v>8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2.75">
      <c r="A9" s="7">
        <v>100</v>
      </c>
      <c r="B9" s="5" t="s">
        <v>9</v>
      </c>
      <c r="C9" s="8">
        <v>3013191.62</v>
      </c>
      <c r="D9" s="8">
        <v>2900158.89</v>
      </c>
      <c r="E9" s="8">
        <v>3115287.03</v>
      </c>
      <c r="F9" s="8">
        <v>3087070.73</v>
      </c>
      <c r="G9" s="9">
        <f aca="true" t="shared" si="0" ref="G9:G11">F9-E9</f>
        <v>-28216.299999999814</v>
      </c>
      <c r="H9" s="10">
        <f aca="true" t="shared" si="1" ref="H9:H11">(F9-E9)/E9</f>
        <v>-0.009057367660918171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12.75">
      <c r="A10" s="7">
        <v>200</v>
      </c>
      <c r="B10" s="5" t="s">
        <v>10</v>
      </c>
      <c r="C10" s="8">
        <v>1035442.74</v>
      </c>
      <c r="D10" s="8">
        <v>1097297.83</v>
      </c>
      <c r="E10" s="8">
        <v>1205720.11</v>
      </c>
      <c r="F10" s="8">
        <v>1177305.64</v>
      </c>
      <c r="G10" s="9">
        <f t="shared" si="0"/>
        <v>-28414.470000000205</v>
      </c>
      <c r="H10" s="10">
        <f t="shared" si="1"/>
        <v>-0.023566389715437525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2.75">
      <c r="A11" s="5"/>
      <c r="B11" s="5" t="s">
        <v>11</v>
      </c>
      <c r="C11" s="8">
        <f aca="true" t="shared" si="2" ref="C11:F11">SUM(C9:C10)</f>
        <v>4048634.3600000003</v>
      </c>
      <c r="D11" s="8">
        <f t="shared" si="2"/>
        <v>3997456.72</v>
      </c>
      <c r="E11" s="8">
        <f t="shared" si="2"/>
        <v>4321007.14</v>
      </c>
      <c r="F11" s="8">
        <f t="shared" si="2"/>
        <v>4264376.37</v>
      </c>
      <c r="G11" s="9">
        <f t="shared" si="0"/>
        <v>-56630.76999999955</v>
      </c>
      <c r="H11" s="10">
        <f t="shared" si="1"/>
        <v>-0.013105919098296042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12.75">
      <c r="A13" s="2"/>
      <c r="B13" s="2"/>
      <c r="C13" s="2"/>
      <c r="D13" s="2"/>
      <c r="E13" s="2"/>
      <c r="F13" s="2"/>
      <c r="G13" s="15">
        <f>F11/F305</f>
        <v>0.7655319917356914</v>
      </c>
      <c r="H13" s="2" t="s">
        <v>114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12.75">
      <c r="A15" s="2"/>
      <c r="B15" s="2" t="s">
        <v>65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2.75">
      <c r="A16" s="5"/>
      <c r="B16" s="11" t="s">
        <v>16</v>
      </c>
      <c r="C16" s="12" t="s">
        <v>17</v>
      </c>
      <c r="D16" s="12" t="s">
        <v>18</v>
      </c>
      <c r="E16" s="12" t="s">
        <v>19</v>
      </c>
      <c r="F16" s="12" t="s">
        <v>20</v>
      </c>
      <c r="G16" s="11" t="s">
        <v>7</v>
      </c>
      <c r="H16" s="12" t="s">
        <v>21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2.75">
      <c r="A17" s="5"/>
      <c r="B17" s="5"/>
      <c r="C17" s="5"/>
      <c r="D17" s="5"/>
      <c r="E17" s="5"/>
      <c r="F17" s="5"/>
      <c r="G17" s="5"/>
      <c r="H17" s="5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12.75">
      <c r="A18" s="7">
        <v>100</v>
      </c>
      <c r="B18" s="5" t="s">
        <v>22</v>
      </c>
      <c r="C18" s="8">
        <v>0</v>
      </c>
      <c r="D18" s="8">
        <v>0</v>
      </c>
      <c r="E18" s="8">
        <v>0</v>
      </c>
      <c r="F18" s="8">
        <v>0</v>
      </c>
      <c r="G18" s="8">
        <f aca="true" t="shared" si="3" ref="G18:G29">F18-E18</f>
        <v>0</v>
      </c>
      <c r="H18" s="10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2.75">
      <c r="A19" s="7">
        <v>200</v>
      </c>
      <c r="B19" s="5" t="s">
        <v>10</v>
      </c>
      <c r="C19" s="8">
        <v>0</v>
      </c>
      <c r="D19" s="8">
        <v>0</v>
      </c>
      <c r="E19" s="8">
        <v>0</v>
      </c>
      <c r="F19" s="8">
        <v>0</v>
      </c>
      <c r="G19" s="8">
        <f t="shared" si="3"/>
        <v>0</v>
      </c>
      <c r="H19" s="10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2.75">
      <c r="A20" s="7">
        <v>300</v>
      </c>
      <c r="B20" s="5" t="s">
        <v>23</v>
      </c>
      <c r="C20" s="8">
        <v>0</v>
      </c>
      <c r="D20" s="8">
        <v>0</v>
      </c>
      <c r="E20" s="8">
        <v>0</v>
      </c>
      <c r="F20" s="8">
        <v>0</v>
      </c>
      <c r="G20" s="8">
        <f t="shared" si="3"/>
        <v>0</v>
      </c>
      <c r="H20" s="10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2.75">
      <c r="A21" s="7">
        <v>400</v>
      </c>
      <c r="B21" s="5" t="s">
        <v>24</v>
      </c>
      <c r="C21" s="8">
        <v>0</v>
      </c>
      <c r="D21" s="8">
        <v>0</v>
      </c>
      <c r="E21" s="8">
        <v>0</v>
      </c>
      <c r="F21" s="8">
        <v>0</v>
      </c>
      <c r="G21" s="8">
        <f t="shared" si="3"/>
        <v>0</v>
      </c>
      <c r="H21" s="10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12.75">
      <c r="A22" s="7">
        <v>561</v>
      </c>
      <c r="B22" s="5" t="s">
        <v>25</v>
      </c>
      <c r="C22" s="8">
        <v>0</v>
      </c>
      <c r="D22" s="8">
        <v>0</v>
      </c>
      <c r="E22" s="8">
        <v>0</v>
      </c>
      <c r="F22" s="8">
        <v>0</v>
      </c>
      <c r="G22" s="8">
        <f t="shared" si="3"/>
        <v>0</v>
      </c>
      <c r="H22" s="10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12.75">
      <c r="A23" s="7">
        <v>593</v>
      </c>
      <c r="B23" s="5" t="s">
        <v>26</v>
      </c>
      <c r="C23" s="8">
        <v>0</v>
      </c>
      <c r="D23" s="8">
        <v>0</v>
      </c>
      <c r="E23" s="8">
        <v>0</v>
      </c>
      <c r="F23" s="8">
        <v>0</v>
      </c>
      <c r="G23" s="8">
        <f t="shared" si="3"/>
        <v>0</v>
      </c>
      <c r="H23" s="10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2.75">
      <c r="A24" s="7">
        <v>566</v>
      </c>
      <c r="B24" s="5" t="s">
        <v>27</v>
      </c>
      <c r="C24" s="8">
        <v>0</v>
      </c>
      <c r="D24" s="8">
        <v>0</v>
      </c>
      <c r="E24" s="8">
        <v>0</v>
      </c>
      <c r="F24" s="8">
        <v>0</v>
      </c>
      <c r="G24" s="8">
        <f t="shared" si="3"/>
        <v>0</v>
      </c>
      <c r="H24" s="10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2.75">
      <c r="A25" s="7">
        <v>500</v>
      </c>
      <c r="B25" s="5" t="s">
        <v>28</v>
      </c>
      <c r="C25" s="8">
        <v>0</v>
      </c>
      <c r="D25" s="8">
        <v>0</v>
      </c>
      <c r="E25" s="8">
        <v>0</v>
      </c>
      <c r="F25" s="8">
        <v>0</v>
      </c>
      <c r="G25" s="8">
        <f t="shared" si="3"/>
        <v>0</v>
      </c>
      <c r="H25" s="10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12.75">
      <c r="A26" s="7">
        <v>600</v>
      </c>
      <c r="B26" s="5" t="s">
        <v>29</v>
      </c>
      <c r="C26" s="8">
        <v>0</v>
      </c>
      <c r="D26" s="8">
        <v>0</v>
      </c>
      <c r="E26" s="8">
        <v>0</v>
      </c>
      <c r="F26" s="8">
        <v>0</v>
      </c>
      <c r="G26" s="8">
        <f t="shared" si="3"/>
        <v>0</v>
      </c>
      <c r="H26" s="10">
        <v>0</v>
      </c>
      <c r="I26" s="15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12.75">
      <c r="A27" s="7">
        <v>700</v>
      </c>
      <c r="B27" s="5" t="s">
        <v>30</v>
      </c>
      <c r="C27" s="8">
        <v>0</v>
      </c>
      <c r="D27" s="8">
        <v>0</v>
      </c>
      <c r="E27" s="8">
        <v>0</v>
      </c>
      <c r="F27" s="8">
        <v>0</v>
      </c>
      <c r="G27" s="8">
        <f t="shared" si="3"/>
        <v>0</v>
      </c>
      <c r="H27" s="10">
        <v>0</v>
      </c>
      <c r="I27" s="15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12.75">
      <c r="A28" s="7">
        <v>800</v>
      </c>
      <c r="B28" s="5" t="s">
        <v>31</v>
      </c>
      <c r="C28" s="8">
        <v>44187.83</v>
      </c>
      <c r="D28" s="8">
        <v>43745.69</v>
      </c>
      <c r="E28" s="8">
        <v>43269.45</v>
      </c>
      <c r="F28" s="8">
        <v>42755.46</v>
      </c>
      <c r="G28" s="8">
        <f t="shared" si="3"/>
        <v>-513.989999999998</v>
      </c>
      <c r="H28" s="10">
        <f>G28/E28</f>
        <v>-0.011878819813979563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12.75">
      <c r="A29" s="7">
        <v>900</v>
      </c>
      <c r="B29" s="5" t="s">
        <v>32</v>
      </c>
      <c r="C29" s="8">
        <v>0</v>
      </c>
      <c r="D29" s="8">
        <v>0</v>
      </c>
      <c r="E29" s="8">
        <v>0</v>
      </c>
      <c r="F29" s="8">
        <v>0</v>
      </c>
      <c r="G29" s="8">
        <f t="shared" si="3"/>
        <v>0</v>
      </c>
      <c r="H29" s="10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12.75">
      <c r="A30" s="5"/>
      <c r="B30" s="5"/>
      <c r="C30" s="8">
        <f aca="true" t="shared" si="4" ref="C30:G30">SUM(C18:C29)</f>
        <v>44187.83</v>
      </c>
      <c r="D30" s="8">
        <f t="shared" si="4"/>
        <v>43745.69</v>
      </c>
      <c r="E30" s="8">
        <f t="shared" si="4"/>
        <v>43269.45</v>
      </c>
      <c r="F30" s="8">
        <f t="shared" si="4"/>
        <v>42755.46</v>
      </c>
      <c r="G30" s="8">
        <f t="shared" si="4"/>
        <v>-513.989999999998</v>
      </c>
      <c r="H30" s="10">
        <f>G30/E30</f>
        <v>-0.011878819813979563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2.75">
      <c r="A31" s="2"/>
      <c r="B31" s="2"/>
      <c r="C31" s="14"/>
      <c r="D31" s="14"/>
      <c r="E31" s="14"/>
      <c r="F31" s="14"/>
      <c r="G31" s="14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ht="12.75">
      <c r="A32" s="2"/>
      <c r="B32" s="2"/>
      <c r="C32" s="14"/>
      <c r="D32" s="14"/>
      <c r="E32" s="14"/>
      <c r="F32" s="14"/>
      <c r="G32" s="14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ht="12.75">
      <c r="A33" s="2"/>
      <c r="B33" s="2" t="s">
        <v>66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ht="12.75">
      <c r="A34" s="5"/>
      <c r="B34" s="11" t="s">
        <v>16</v>
      </c>
      <c r="C34" s="12" t="s">
        <v>17</v>
      </c>
      <c r="D34" s="12" t="s">
        <v>18</v>
      </c>
      <c r="E34" s="12" t="s">
        <v>19</v>
      </c>
      <c r="F34" s="12" t="s">
        <v>20</v>
      </c>
      <c r="G34" s="11" t="s">
        <v>7</v>
      </c>
      <c r="H34" s="12" t="s">
        <v>21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ht="12.75">
      <c r="A35" s="5"/>
      <c r="B35" s="5"/>
      <c r="C35" s="5"/>
      <c r="D35" s="5"/>
      <c r="E35" s="5"/>
      <c r="F35" s="5"/>
      <c r="G35" s="5"/>
      <c r="H35" s="5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ht="12.75">
      <c r="A36" s="7">
        <v>100</v>
      </c>
      <c r="B36" s="5" t="s">
        <v>22</v>
      </c>
      <c r="C36" s="8">
        <v>0</v>
      </c>
      <c r="D36" s="8">
        <v>0</v>
      </c>
      <c r="E36" s="8">
        <v>0</v>
      </c>
      <c r="F36" s="8">
        <v>0</v>
      </c>
      <c r="G36" s="8">
        <f aca="true" t="shared" si="5" ref="G36:G47">F36-E36</f>
        <v>0</v>
      </c>
      <c r="H36" s="10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ht="12.75">
      <c r="A37" s="7">
        <v>200</v>
      </c>
      <c r="B37" s="5" t="s">
        <v>10</v>
      </c>
      <c r="C37" s="8">
        <v>0</v>
      </c>
      <c r="D37" s="8">
        <v>0</v>
      </c>
      <c r="E37" s="8">
        <v>0</v>
      </c>
      <c r="F37" s="8">
        <v>0</v>
      </c>
      <c r="G37" s="8">
        <f t="shared" si="5"/>
        <v>0</v>
      </c>
      <c r="H37" s="10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ht="12.75">
      <c r="A38" s="7">
        <v>300</v>
      </c>
      <c r="B38" s="5" t="s">
        <v>23</v>
      </c>
      <c r="C38" s="8">
        <v>0</v>
      </c>
      <c r="D38" s="8">
        <v>0</v>
      </c>
      <c r="E38" s="8">
        <v>0</v>
      </c>
      <c r="F38" s="8">
        <v>0</v>
      </c>
      <c r="G38" s="8">
        <f t="shared" si="5"/>
        <v>0</v>
      </c>
      <c r="H38" s="10">
        <v>0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ht="12.75">
      <c r="A39" s="7">
        <v>400</v>
      </c>
      <c r="B39" s="5" t="s">
        <v>24</v>
      </c>
      <c r="C39" s="8">
        <v>0</v>
      </c>
      <c r="D39" s="8">
        <v>0</v>
      </c>
      <c r="E39" s="8">
        <v>0</v>
      </c>
      <c r="F39" s="8">
        <v>0</v>
      </c>
      <c r="G39" s="8">
        <f t="shared" si="5"/>
        <v>0</v>
      </c>
      <c r="H39" s="10">
        <v>0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ht="12.75">
      <c r="A40" s="7">
        <v>561</v>
      </c>
      <c r="B40" s="5" t="s">
        <v>25</v>
      </c>
      <c r="C40" s="8">
        <v>0</v>
      </c>
      <c r="D40" s="8">
        <v>0</v>
      </c>
      <c r="E40" s="8">
        <v>0</v>
      </c>
      <c r="F40" s="8">
        <v>0</v>
      </c>
      <c r="G40" s="8">
        <f t="shared" si="5"/>
        <v>0</v>
      </c>
      <c r="H40" s="10">
        <v>0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ht="12.75">
      <c r="A41" s="7">
        <v>593</v>
      </c>
      <c r="B41" s="5" t="s">
        <v>26</v>
      </c>
      <c r="C41" s="8">
        <v>0</v>
      </c>
      <c r="D41" s="8">
        <v>0</v>
      </c>
      <c r="E41" s="8">
        <v>0</v>
      </c>
      <c r="F41" s="8">
        <v>0</v>
      </c>
      <c r="G41" s="8">
        <f t="shared" si="5"/>
        <v>0</v>
      </c>
      <c r="H41" s="10">
        <v>0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ht="12.75">
      <c r="A42" s="7">
        <v>566</v>
      </c>
      <c r="B42" s="5" t="s">
        <v>27</v>
      </c>
      <c r="C42" s="8">
        <v>0</v>
      </c>
      <c r="D42" s="8">
        <v>0</v>
      </c>
      <c r="E42" s="8">
        <v>0</v>
      </c>
      <c r="F42" s="8">
        <v>0</v>
      </c>
      <c r="G42" s="8">
        <f t="shared" si="5"/>
        <v>0</v>
      </c>
      <c r="H42" s="10">
        <v>0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ht="12.75">
      <c r="A43" s="7">
        <v>500</v>
      </c>
      <c r="B43" s="5" t="s">
        <v>28</v>
      </c>
      <c r="C43" s="8">
        <v>0</v>
      </c>
      <c r="D43" s="8">
        <v>0</v>
      </c>
      <c r="E43" s="8">
        <v>0</v>
      </c>
      <c r="F43" s="8">
        <v>0</v>
      </c>
      <c r="G43" s="8">
        <f t="shared" si="5"/>
        <v>0</v>
      </c>
      <c r="H43" s="10">
        <v>0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ht="12.75">
      <c r="A44" s="7">
        <v>600</v>
      </c>
      <c r="B44" s="5" t="s">
        <v>29</v>
      </c>
      <c r="C44" s="8">
        <v>0</v>
      </c>
      <c r="D44" s="8">
        <v>0</v>
      </c>
      <c r="E44" s="8">
        <v>0</v>
      </c>
      <c r="F44" s="8">
        <v>0</v>
      </c>
      <c r="G44" s="8">
        <f t="shared" si="5"/>
        <v>0</v>
      </c>
      <c r="H44" s="10">
        <v>0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ht="12.75">
      <c r="A45" s="7">
        <v>700</v>
      </c>
      <c r="B45" s="5" t="s">
        <v>30</v>
      </c>
      <c r="C45" s="8">
        <v>0</v>
      </c>
      <c r="D45" s="8">
        <v>0</v>
      </c>
      <c r="E45" s="8">
        <v>0</v>
      </c>
      <c r="F45" s="8">
        <v>0</v>
      </c>
      <c r="G45" s="8">
        <f t="shared" si="5"/>
        <v>0</v>
      </c>
      <c r="H45" s="10">
        <v>0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ht="12.75">
      <c r="A46" s="7">
        <v>800</v>
      </c>
      <c r="B46" s="5" t="s">
        <v>31</v>
      </c>
      <c r="C46" s="8">
        <v>0</v>
      </c>
      <c r="D46" s="8">
        <v>0</v>
      </c>
      <c r="E46" s="8">
        <v>0</v>
      </c>
      <c r="F46" s="8">
        <v>0</v>
      </c>
      <c r="G46" s="8">
        <f t="shared" si="5"/>
        <v>0</v>
      </c>
      <c r="H46" s="10">
        <v>0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ht="12.75">
      <c r="A47" s="7">
        <v>900</v>
      </c>
      <c r="B47" s="5" t="s">
        <v>32</v>
      </c>
      <c r="C47" s="8">
        <v>0</v>
      </c>
      <c r="D47" s="8">
        <v>0</v>
      </c>
      <c r="E47" s="8">
        <v>0</v>
      </c>
      <c r="F47" s="8">
        <v>0</v>
      </c>
      <c r="G47" s="8">
        <f t="shared" si="5"/>
        <v>0</v>
      </c>
      <c r="H47" s="10">
        <v>0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ht="12.75">
      <c r="A48" s="5"/>
      <c r="B48" s="5"/>
      <c r="C48" s="8">
        <f>SUM(C36:C47)</f>
        <v>0</v>
      </c>
      <c r="D48" s="8">
        <v>0</v>
      </c>
      <c r="E48" s="8">
        <f aca="true" t="shared" si="6" ref="E48:G48">SUM(E36:E47)</f>
        <v>0</v>
      </c>
      <c r="F48" s="8">
        <f t="shared" si="6"/>
        <v>0</v>
      </c>
      <c r="G48" s="8">
        <f t="shared" si="6"/>
        <v>0</v>
      </c>
      <c r="H48" s="10">
        <v>0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ht="12.75">
      <c r="A51" s="2"/>
      <c r="B51" s="2" t="s">
        <v>68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ht="12.75">
      <c r="A52" s="5"/>
      <c r="B52" s="11" t="s">
        <v>16</v>
      </c>
      <c r="C52" s="12" t="s">
        <v>17</v>
      </c>
      <c r="D52" s="12" t="s">
        <v>18</v>
      </c>
      <c r="E52" s="12" t="s">
        <v>19</v>
      </c>
      <c r="F52" s="12" t="s">
        <v>20</v>
      </c>
      <c r="G52" s="11" t="s">
        <v>7</v>
      </c>
      <c r="H52" s="12" t="s">
        <v>21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ht="12.75">
      <c r="A53" s="5"/>
      <c r="B53" s="5"/>
      <c r="C53" s="5"/>
      <c r="D53" s="5"/>
      <c r="E53" s="5"/>
      <c r="F53" s="5"/>
      <c r="G53" s="5"/>
      <c r="H53" s="5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ht="12.75">
      <c r="A54" s="7">
        <v>100</v>
      </c>
      <c r="B54" s="5" t="s">
        <v>22</v>
      </c>
      <c r="C54" s="8">
        <v>0</v>
      </c>
      <c r="D54" s="8">
        <v>0</v>
      </c>
      <c r="E54" s="8">
        <v>0</v>
      </c>
      <c r="F54" s="8">
        <v>0</v>
      </c>
      <c r="G54" s="8">
        <f aca="true" t="shared" si="7" ref="G54:G65">F54-E54</f>
        <v>0</v>
      </c>
      <c r="H54" s="10">
        <v>0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ht="12.75">
      <c r="A55" s="7">
        <v>200</v>
      </c>
      <c r="B55" s="5" t="s">
        <v>10</v>
      </c>
      <c r="C55" s="8">
        <v>0</v>
      </c>
      <c r="D55" s="8">
        <v>0</v>
      </c>
      <c r="E55" s="8">
        <v>0</v>
      </c>
      <c r="F55" s="8">
        <v>0</v>
      </c>
      <c r="G55" s="8">
        <f t="shared" si="7"/>
        <v>0</v>
      </c>
      <c r="H55" s="10">
        <v>0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 ht="12.75">
      <c r="A56" s="7">
        <v>300</v>
      </c>
      <c r="B56" s="5" t="s">
        <v>23</v>
      </c>
      <c r="C56" s="8">
        <v>0</v>
      </c>
      <c r="D56" s="8">
        <v>0</v>
      </c>
      <c r="E56" s="8">
        <v>0</v>
      </c>
      <c r="F56" s="8">
        <v>0</v>
      </c>
      <c r="G56" s="8">
        <f t="shared" si="7"/>
        <v>0</v>
      </c>
      <c r="H56" s="10">
        <v>0</v>
      </c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ht="12.75">
      <c r="A57" s="7">
        <v>400</v>
      </c>
      <c r="B57" s="5" t="s">
        <v>24</v>
      </c>
      <c r="C57" s="8">
        <v>0</v>
      </c>
      <c r="D57" s="8">
        <v>0</v>
      </c>
      <c r="E57" s="8">
        <v>0</v>
      </c>
      <c r="F57" s="8">
        <v>0</v>
      </c>
      <c r="G57" s="8">
        <f t="shared" si="7"/>
        <v>0</v>
      </c>
      <c r="H57" s="10">
        <v>0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 ht="12.75">
      <c r="A58" s="7">
        <v>561</v>
      </c>
      <c r="B58" s="5" t="s">
        <v>25</v>
      </c>
      <c r="C58" s="8">
        <v>0</v>
      </c>
      <c r="D58" s="8">
        <v>0</v>
      </c>
      <c r="E58" s="8">
        <v>0</v>
      </c>
      <c r="F58" s="8">
        <v>0</v>
      </c>
      <c r="G58" s="8">
        <f t="shared" si="7"/>
        <v>0</v>
      </c>
      <c r="H58" s="10">
        <v>0</v>
      </c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 ht="12.75">
      <c r="A59" s="7">
        <v>593</v>
      </c>
      <c r="B59" s="5" t="s">
        <v>26</v>
      </c>
      <c r="C59" s="8">
        <v>0</v>
      </c>
      <c r="D59" s="8">
        <v>0</v>
      </c>
      <c r="E59" s="8">
        <v>0</v>
      </c>
      <c r="F59" s="8">
        <v>0</v>
      </c>
      <c r="G59" s="8">
        <f t="shared" si="7"/>
        <v>0</v>
      </c>
      <c r="H59" s="10">
        <v>0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 ht="12.75">
      <c r="A60" s="7">
        <v>566</v>
      </c>
      <c r="B60" s="5" t="s">
        <v>27</v>
      </c>
      <c r="C60" s="8">
        <v>0</v>
      </c>
      <c r="D60" s="8">
        <v>0</v>
      </c>
      <c r="E60" s="8">
        <v>0</v>
      </c>
      <c r="F60" s="8">
        <v>0</v>
      </c>
      <c r="G60" s="8">
        <f t="shared" si="7"/>
        <v>0</v>
      </c>
      <c r="H60" s="10">
        <v>0</v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ht="12.75">
      <c r="A61" s="7">
        <v>500</v>
      </c>
      <c r="B61" s="5" t="s">
        <v>28</v>
      </c>
      <c r="C61" s="8">
        <v>0</v>
      </c>
      <c r="D61" s="8">
        <v>0</v>
      </c>
      <c r="E61" s="8">
        <v>0</v>
      </c>
      <c r="F61" s="8">
        <v>0</v>
      </c>
      <c r="G61" s="8">
        <f t="shared" si="7"/>
        <v>0</v>
      </c>
      <c r="H61" s="10">
        <v>0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ht="12.75">
      <c r="A62" s="7">
        <v>600</v>
      </c>
      <c r="B62" s="5" t="s">
        <v>29</v>
      </c>
      <c r="C62" s="8">
        <v>0</v>
      </c>
      <c r="D62" s="8">
        <v>0</v>
      </c>
      <c r="E62" s="8">
        <v>0</v>
      </c>
      <c r="F62" s="8">
        <v>0</v>
      </c>
      <c r="G62" s="8">
        <f t="shared" si="7"/>
        <v>0</v>
      </c>
      <c r="H62" s="10">
        <v>0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ht="12.75">
      <c r="A63" s="7">
        <v>700</v>
      </c>
      <c r="B63" s="5" t="s">
        <v>30</v>
      </c>
      <c r="C63" s="8">
        <v>0</v>
      </c>
      <c r="D63" s="8">
        <v>0</v>
      </c>
      <c r="E63" s="8">
        <v>0</v>
      </c>
      <c r="F63" s="8">
        <v>0</v>
      </c>
      <c r="G63" s="8">
        <f t="shared" si="7"/>
        <v>0</v>
      </c>
      <c r="H63" s="10">
        <v>0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ht="12.75">
      <c r="A64" s="7">
        <v>800</v>
      </c>
      <c r="B64" s="5" t="s">
        <v>31</v>
      </c>
      <c r="C64" s="8">
        <v>0</v>
      </c>
      <c r="D64" s="8">
        <v>0</v>
      </c>
      <c r="E64" s="8">
        <v>0</v>
      </c>
      <c r="F64" s="8">
        <v>0</v>
      </c>
      <c r="G64" s="8">
        <f t="shared" si="7"/>
        <v>0</v>
      </c>
      <c r="H64" s="10">
        <v>0</v>
      </c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ht="12.75">
      <c r="A65" s="7">
        <v>900</v>
      </c>
      <c r="B65" s="5" t="s">
        <v>32</v>
      </c>
      <c r="C65" s="8">
        <v>0</v>
      </c>
      <c r="D65" s="8">
        <v>0</v>
      </c>
      <c r="E65" s="8">
        <v>0</v>
      </c>
      <c r="F65" s="8">
        <v>0</v>
      </c>
      <c r="G65" s="8">
        <f t="shared" si="7"/>
        <v>0</v>
      </c>
      <c r="H65" s="10">
        <v>0</v>
      </c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 ht="12.75">
      <c r="A66" s="5"/>
      <c r="B66" s="5"/>
      <c r="C66" s="8">
        <v>0</v>
      </c>
      <c r="D66" s="8">
        <v>0</v>
      </c>
      <c r="E66" s="8">
        <v>0</v>
      </c>
      <c r="F66" s="8">
        <v>0</v>
      </c>
      <c r="G66" s="8">
        <f>SUM(G54:G65)</f>
        <v>0</v>
      </c>
      <c r="H66" s="10">
        <v>0</v>
      </c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28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 ht="12.75">
      <c r="A69" s="2"/>
      <c r="B69" s="2" t="s">
        <v>70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28" ht="12.75">
      <c r="A70" s="5"/>
      <c r="B70" s="11" t="s">
        <v>16</v>
      </c>
      <c r="C70" s="12" t="s">
        <v>17</v>
      </c>
      <c r="D70" s="12" t="s">
        <v>18</v>
      </c>
      <c r="E70" s="12" t="s">
        <v>19</v>
      </c>
      <c r="F70" s="12" t="s">
        <v>20</v>
      </c>
      <c r="G70" s="11" t="s">
        <v>7</v>
      </c>
      <c r="H70" s="12" t="s">
        <v>21</v>
      </c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:28" ht="12.75">
      <c r="A71" s="5"/>
      <c r="B71" s="5"/>
      <c r="C71" s="5"/>
      <c r="D71" s="5"/>
      <c r="E71" s="5"/>
      <c r="F71" s="5"/>
      <c r="G71" s="5"/>
      <c r="H71" s="5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 ht="12.75">
      <c r="A72" s="7">
        <v>100</v>
      </c>
      <c r="B72" s="5" t="s">
        <v>22</v>
      </c>
      <c r="C72" s="8">
        <v>1793092.9</v>
      </c>
      <c r="D72" s="8">
        <v>1866296.05</v>
      </c>
      <c r="E72" s="8">
        <f>1982838+4448</f>
        <v>1987286</v>
      </c>
      <c r="F72" s="8">
        <v>1950921.14</v>
      </c>
      <c r="G72" s="8">
        <f aca="true" t="shared" si="8" ref="G72:G83">F72-E72</f>
        <v>-36364.8600000001</v>
      </c>
      <c r="H72" s="10">
        <f aca="true" t="shared" si="9" ref="H72:H74">G72/E72</f>
        <v>-0.018298755186722044</v>
      </c>
      <c r="I72" s="2" t="s">
        <v>71</v>
      </c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 ht="12.75">
      <c r="A73" s="7">
        <v>200</v>
      </c>
      <c r="B73" s="5" t="s">
        <v>10</v>
      </c>
      <c r="C73" s="8">
        <v>563805.21</v>
      </c>
      <c r="D73" s="8">
        <v>629728.31</v>
      </c>
      <c r="E73" s="8">
        <f>695629.44+5597-6844</f>
        <v>694382.44</v>
      </c>
      <c r="F73" s="8">
        <v>668437.27</v>
      </c>
      <c r="G73" s="8">
        <f t="shared" si="8"/>
        <v>-25945.169999999925</v>
      </c>
      <c r="H73" s="10">
        <f t="shared" si="9"/>
        <v>-0.03736438093106146</v>
      </c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 ht="12.75">
      <c r="A74" s="7">
        <v>300</v>
      </c>
      <c r="B74" s="5" t="s">
        <v>23</v>
      </c>
      <c r="C74" s="8">
        <v>108835.45</v>
      </c>
      <c r="D74" s="8">
        <v>70949.42</v>
      </c>
      <c r="E74" s="8">
        <v>67321</v>
      </c>
      <c r="F74" s="8">
        <v>91482.84</v>
      </c>
      <c r="G74" s="8">
        <f t="shared" si="8"/>
        <v>24161.839999999997</v>
      </c>
      <c r="H74" s="10">
        <f t="shared" si="9"/>
        <v>0.358904947936008</v>
      </c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 ht="12.75">
      <c r="A75" s="7">
        <v>400</v>
      </c>
      <c r="B75" s="5" t="s">
        <v>24</v>
      </c>
      <c r="C75" s="8">
        <v>1308.74</v>
      </c>
      <c r="D75" s="8">
        <v>602.56</v>
      </c>
      <c r="E75" s="8">
        <v>7500</v>
      </c>
      <c r="F75" s="8">
        <v>4900</v>
      </c>
      <c r="G75" s="8">
        <f t="shared" si="8"/>
        <v>-2600</v>
      </c>
      <c r="H75" s="10">
        <v>0</v>
      </c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8" ht="12.75">
      <c r="A76" s="7">
        <v>561</v>
      </c>
      <c r="B76" s="5" t="s">
        <v>25</v>
      </c>
      <c r="C76" s="8">
        <v>158557</v>
      </c>
      <c r="D76" s="8">
        <v>101950</v>
      </c>
      <c r="E76" s="8">
        <v>113400</v>
      </c>
      <c r="F76" s="8">
        <v>73900</v>
      </c>
      <c r="G76" s="8">
        <f t="shared" si="8"/>
        <v>-39500</v>
      </c>
      <c r="H76" s="10">
        <f>G76/E76</f>
        <v>-0.34832451499118167</v>
      </c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:28" ht="12.75">
      <c r="A77" s="7">
        <v>593</v>
      </c>
      <c r="B77" s="5" t="s">
        <v>26</v>
      </c>
      <c r="C77" s="8">
        <v>0</v>
      </c>
      <c r="D77" s="8">
        <v>0</v>
      </c>
      <c r="E77" s="8">
        <v>0</v>
      </c>
      <c r="F77" s="8">
        <v>0</v>
      </c>
      <c r="G77" s="8">
        <f t="shared" si="8"/>
        <v>0</v>
      </c>
      <c r="H77" s="10">
        <v>0</v>
      </c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28" ht="12.75">
      <c r="A78" s="7">
        <v>566</v>
      </c>
      <c r="B78" s="5" t="s">
        <v>27</v>
      </c>
      <c r="C78" s="8">
        <v>301477</v>
      </c>
      <c r="D78" s="8">
        <v>373547.18</v>
      </c>
      <c r="E78" s="8">
        <f aca="true" t="shared" si="10" ref="E78:F78">237099+154732</f>
        <v>391831</v>
      </c>
      <c r="F78" s="8">
        <f t="shared" si="10"/>
        <v>391831</v>
      </c>
      <c r="G78" s="8">
        <f t="shared" si="8"/>
        <v>0</v>
      </c>
      <c r="H78" s="10">
        <v>0</v>
      </c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1:28" ht="12.75">
      <c r="A79" s="7">
        <v>500</v>
      </c>
      <c r="B79" s="5" t="s">
        <v>28</v>
      </c>
      <c r="C79" s="8">
        <v>14903.16</v>
      </c>
      <c r="D79" s="8">
        <v>7374.4</v>
      </c>
      <c r="E79" s="8">
        <v>9900</v>
      </c>
      <c r="F79" s="8">
        <v>8450</v>
      </c>
      <c r="G79" s="8">
        <f t="shared" si="8"/>
        <v>-1450</v>
      </c>
      <c r="H79" s="10">
        <f aca="true" t="shared" si="11" ref="H79:H82">G79/E79</f>
        <v>-0.14646464646464646</v>
      </c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1:28" ht="12.75">
      <c r="A80" s="7">
        <v>600</v>
      </c>
      <c r="B80" s="5" t="s">
        <v>29</v>
      </c>
      <c r="C80" s="8">
        <v>43364.81</v>
      </c>
      <c r="D80" s="8">
        <v>44020.69</v>
      </c>
      <c r="E80" s="8">
        <v>85015</v>
      </c>
      <c r="F80" s="8">
        <v>91909</v>
      </c>
      <c r="G80" s="8">
        <f t="shared" si="8"/>
        <v>6894</v>
      </c>
      <c r="H80" s="10">
        <f t="shared" si="11"/>
        <v>0.08109157207551608</v>
      </c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spans="1:28" ht="12.75">
      <c r="A81" s="7">
        <v>700</v>
      </c>
      <c r="B81" s="5" t="s">
        <v>30</v>
      </c>
      <c r="C81" s="8">
        <v>10658.99</v>
      </c>
      <c r="D81" s="8">
        <v>14213.85</v>
      </c>
      <c r="E81" s="8">
        <v>18650</v>
      </c>
      <c r="F81" s="8">
        <v>19600</v>
      </c>
      <c r="G81" s="8">
        <f t="shared" si="8"/>
        <v>950</v>
      </c>
      <c r="H81" s="10">
        <f t="shared" si="11"/>
        <v>0.05093833780160858</v>
      </c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1:28" ht="12.75">
      <c r="A82" s="7">
        <v>800</v>
      </c>
      <c r="B82" s="5" t="s">
        <v>31</v>
      </c>
      <c r="C82" s="8">
        <v>5704.41</v>
      </c>
      <c r="D82" s="8">
        <v>2768</v>
      </c>
      <c r="E82" s="8">
        <v>6800</v>
      </c>
      <c r="F82" s="8">
        <v>6800</v>
      </c>
      <c r="G82" s="8">
        <f t="shared" si="8"/>
        <v>0</v>
      </c>
      <c r="H82" s="10">
        <f t="shared" si="11"/>
        <v>0</v>
      </c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1:28" ht="12.75">
      <c r="A83" s="7">
        <v>900</v>
      </c>
      <c r="B83" s="5" t="s">
        <v>32</v>
      </c>
      <c r="C83" s="8">
        <v>0</v>
      </c>
      <c r="D83" s="8">
        <v>0</v>
      </c>
      <c r="E83" s="8">
        <v>0</v>
      </c>
      <c r="F83" s="8">
        <v>0</v>
      </c>
      <c r="G83" s="8">
        <f t="shared" si="8"/>
        <v>0</v>
      </c>
      <c r="H83" s="10">
        <v>0</v>
      </c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1:28" ht="12.75">
      <c r="A84" s="5"/>
      <c r="B84" s="5"/>
      <c r="C84" s="8">
        <f aca="true" t="shared" si="12" ref="C84:G84">SUM(C72:C83)</f>
        <v>3001707.67</v>
      </c>
      <c r="D84" s="8">
        <f t="shared" si="12"/>
        <v>3111450.46</v>
      </c>
      <c r="E84" s="8">
        <f t="shared" si="12"/>
        <v>3382085.44</v>
      </c>
      <c r="F84" s="8">
        <f t="shared" si="12"/>
        <v>3308231.25</v>
      </c>
      <c r="G84" s="8">
        <f t="shared" si="12"/>
        <v>-73854.19000000003</v>
      </c>
      <c r="H84" s="10">
        <f>G84/E84</f>
        <v>-0.021836878845970263</v>
      </c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1:28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1:28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1:28" ht="12.75">
      <c r="A87" s="2"/>
      <c r="B87" s="2" t="s">
        <v>72</v>
      </c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1:28" ht="12.75">
      <c r="A88" s="5"/>
      <c r="B88" s="11" t="s">
        <v>16</v>
      </c>
      <c r="C88" s="12" t="s">
        <v>17</v>
      </c>
      <c r="D88" s="12" t="s">
        <v>18</v>
      </c>
      <c r="E88" s="12" t="s">
        <v>19</v>
      </c>
      <c r="F88" s="12" t="s">
        <v>20</v>
      </c>
      <c r="G88" s="11" t="s">
        <v>7</v>
      </c>
      <c r="H88" s="12" t="s">
        <v>21</v>
      </c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pans="1:28" ht="12.75">
      <c r="A89" s="5"/>
      <c r="B89" s="5"/>
      <c r="C89" s="5"/>
      <c r="D89" s="5"/>
      <c r="E89" s="5"/>
      <c r="F89" s="5"/>
      <c r="G89" s="5"/>
      <c r="H89" s="5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1:28" ht="12.75">
      <c r="A90" s="7">
        <v>100</v>
      </c>
      <c r="B90" s="5" t="s">
        <v>22</v>
      </c>
      <c r="C90" s="8">
        <v>52776.72</v>
      </c>
      <c r="D90" s="8">
        <v>52485</v>
      </c>
      <c r="E90" s="8">
        <v>54425</v>
      </c>
      <c r="F90" s="8">
        <v>54425</v>
      </c>
      <c r="G90" s="8">
        <f aca="true" t="shared" si="13" ref="G90:G101">F90-E90</f>
        <v>0</v>
      </c>
      <c r="H90" s="10">
        <f aca="true" t="shared" si="14" ref="H90:H91">G90/E90</f>
        <v>0</v>
      </c>
      <c r="I90" s="2" t="s">
        <v>108</v>
      </c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spans="1:28" ht="12.75">
      <c r="A91" s="7">
        <v>200</v>
      </c>
      <c r="B91" s="5" t="s">
        <v>10</v>
      </c>
      <c r="C91" s="8">
        <v>27742.43</v>
      </c>
      <c r="D91" s="8">
        <v>33659.57</v>
      </c>
      <c r="E91" s="8">
        <v>30796.11</v>
      </c>
      <c r="F91" s="8">
        <v>32087.46</v>
      </c>
      <c r="G91" s="8">
        <f t="shared" si="13"/>
        <v>1291.3499999999985</v>
      </c>
      <c r="H91" s="10">
        <f t="shared" si="14"/>
        <v>0.04193224403991278</v>
      </c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pans="1:28" ht="12.75">
      <c r="A92" s="7">
        <v>300</v>
      </c>
      <c r="B92" s="5" t="s">
        <v>23</v>
      </c>
      <c r="C92" s="8">
        <v>0</v>
      </c>
      <c r="D92" s="8">
        <v>0</v>
      </c>
      <c r="E92" s="8">
        <v>0</v>
      </c>
      <c r="F92" s="8">
        <v>0</v>
      </c>
      <c r="G92" s="8">
        <f t="shared" si="13"/>
        <v>0</v>
      </c>
      <c r="H92" s="10">
        <v>0</v>
      </c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spans="1:28" ht="12.75">
      <c r="A93" s="7">
        <v>400</v>
      </c>
      <c r="B93" s="5" t="s">
        <v>24</v>
      </c>
      <c r="C93" s="8">
        <v>0</v>
      </c>
      <c r="D93" s="8">
        <v>0</v>
      </c>
      <c r="E93" s="8">
        <v>0</v>
      </c>
      <c r="F93" s="8">
        <v>0</v>
      </c>
      <c r="G93" s="8">
        <f t="shared" si="13"/>
        <v>0</v>
      </c>
      <c r="H93" s="10">
        <v>0</v>
      </c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1:28" ht="12.75">
      <c r="A94" s="7">
        <v>561</v>
      </c>
      <c r="B94" s="5" t="s">
        <v>25</v>
      </c>
      <c r="C94" s="8">
        <v>0</v>
      </c>
      <c r="D94" s="8">
        <v>0</v>
      </c>
      <c r="E94" s="8">
        <v>0</v>
      </c>
      <c r="F94" s="8">
        <v>0</v>
      </c>
      <c r="G94" s="8">
        <f t="shared" si="13"/>
        <v>0</v>
      </c>
      <c r="H94" s="10">
        <v>0</v>
      </c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1:28" ht="12.75">
      <c r="A95" s="7">
        <v>593</v>
      </c>
      <c r="B95" s="5" t="s">
        <v>26</v>
      </c>
      <c r="C95" s="8">
        <v>0</v>
      </c>
      <c r="D95" s="8">
        <v>0</v>
      </c>
      <c r="E95" s="8">
        <v>0</v>
      </c>
      <c r="F95" s="8">
        <v>0</v>
      </c>
      <c r="G95" s="8">
        <f t="shared" si="13"/>
        <v>0</v>
      </c>
      <c r="H95" s="10">
        <v>0</v>
      </c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1:28" ht="12.75">
      <c r="A96" s="7">
        <v>566</v>
      </c>
      <c r="B96" s="5" t="s">
        <v>27</v>
      </c>
      <c r="C96" s="8">
        <v>0</v>
      </c>
      <c r="D96" s="8">
        <v>0</v>
      </c>
      <c r="E96" s="8">
        <v>0</v>
      </c>
      <c r="F96" s="8">
        <v>0</v>
      </c>
      <c r="G96" s="8">
        <f t="shared" si="13"/>
        <v>0</v>
      </c>
      <c r="H96" s="10">
        <v>0</v>
      </c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1:28" ht="12.75">
      <c r="A97" s="7">
        <v>500</v>
      </c>
      <c r="B97" s="5" t="s">
        <v>28</v>
      </c>
      <c r="C97" s="8">
        <v>0</v>
      </c>
      <c r="D97" s="8">
        <v>0</v>
      </c>
      <c r="E97" s="8">
        <v>0</v>
      </c>
      <c r="F97" s="8">
        <v>0</v>
      </c>
      <c r="G97" s="8">
        <f t="shared" si="13"/>
        <v>0</v>
      </c>
      <c r="H97" s="10">
        <v>0</v>
      </c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1:28" ht="12.75">
      <c r="A98" s="7">
        <v>600</v>
      </c>
      <c r="B98" s="5" t="s">
        <v>29</v>
      </c>
      <c r="C98" s="8">
        <v>9460.25</v>
      </c>
      <c r="D98" s="8">
        <v>14017.65</v>
      </c>
      <c r="E98" s="8">
        <v>13500</v>
      </c>
      <c r="F98" s="8">
        <v>13600</v>
      </c>
      <c r="G98" s="8">
        <f t="shared" si="13"/>
        <v>100</v>
      </c>
      <c r="H98" s="10">
        <f>G98/E98</f>
        <v>0.007407407407407408</v>
      </c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1:28" ht="12.75">
      <c r="A99" s="7">
        <v>700</v>
      </c>
      <c r="B99" s="5" t="s">
        <v>30</v>
      </c>
      <c r="C99" s="8">
        <v>1421.61</v>
      </c>
      <c r="D99" s="8">
        <v>0</v>
      </c>
      <c r="E99" s="8">
        <v>6790</v>
      </c>
      <c r="F99" s="8">
        <v>0</v>
      </c>
      <c r="G99" s="8">
        <f t="shared" si="13"/>
        <v>-6790</v>
      </c>
      <c r="H99" s="10">
        <v>1</v>
      </c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1:28" ht="12.75">
      <c r="A100" s="7">
        <v>800</v>
      </c>
      <c r="B100" s="5" t="s">
        <v>31</v>
      </c>
      <c r="C100" s="8">
        <v>35</v>
      </c>
      <c r="D100" s="8">
        <v>315.77</v>
      </c>
      <c r="E100" s="8">
        <v>280</v>
      </c>
      <c r="F100" s="8">
        <v>230</v>
      </c>
      <c r="G100" s="8">
        <f t="shared" si="13"/>
        <v>-50</v>
      </c>
      <c r="H100" s="10">
        <v>0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1:28" ht="12.75">
      <c r="A101" s="7">
        <v>900</v>
      </c>
      <c r="B101" s="5" t="s">
        <v>32</v>
      </c>
      <c r="C101" s="8">
        <v>0</v>
      </c>
      <c r="D101" s="8">
        <v>0</v>
      </c>
      <c r="E101" s="8">
        <v>0</v>
      </c>
      <c r="F101" s="8">
        <v>0</v>
      </c>
      <c r="G101" s="8">
        <f t="shared" si="13"/>
        <v>0</v>
      </c>
      <c r="H101" s="10">
        <v>0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1:28" ht="12.75">
      <c r="A102" s="5"/>
      <c r="B102" s="5"/>
      <c r="C102" s="8">
        <f aca="true" t="shared" si="15" ref="C102:G102">SUM(C90:C101)</f>
        <v>91436.01000000001</v>
      </c>
      <c r="D102" s="8">
        <f t="shared" si="15"/>
        <v>100477.98999999999</v>
      </c>
      <c r="E102" s="8">
        <f t="shared" si="15"/>
        <v>105791.11</v>
      </c>
      <c r="F102" s="8">
        <f t="shared" si="15"/>
        <v>100342.45999999999</v>
      </c>
      <c r="G102" s="8">
        <f t="shared" si="15"/>
        <v>-5448.6500000000015</v>
      </c>
      <c r="H102" s="10">
        <f>G102/E102</f>
        <v>-0.051503855097087096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1:28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1:28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1:28" ht="12.75">
      <c r="A105" s="2"/>
      <c r="B105" s="2" t="s">
        <v>74</v>
      </c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1:28" ht="12.75">
      <c r="A106" s="5"/>
      <c r="B106" s="11" t="s">
        <v>16</v>
      </c>
      <c r="C106" s="12" t="s">
        <v>17</v>
      </c>
      <c r="D106" s="12" t="s">
        <v>18</v>
      </c>
      <c r="E106" s="12" t="s">
        <v>19</v>
      </c>
      <c r="F106" s="12" t="s">
        <v>20</v>
      </c>
      <c r="G106" s="11" t="s">
        <v>7</v>
      </c>
      <c r="H106" s="12" t="s">
        <v>21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1:28" ht="12.75">
      <c r="A107" s="5"/>
      <c r="B107" s="5"/>
      <c r="C107" s="5"/>
      <c r="D107" s="5"/>
      <c r="E107" s="5"/>
      <c r="F107" s="5"/>
      <c r="G107" s="5"/>
      <c r="H107" s="5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1:28" ht="12.75">
      <c r="A108" s="7">
        <v>100</v>
      </c>
      <c r="B108" s="5" t="s">
        <v>22</v>
      </c>
      <c r="C108" s="8">
        <v>304212.69</v>
      </c>
      <c r="D108" s="8">
        <f>+272582.51+19683.72+32391.66+29525.58</f>
        <v>354183.47</v>
      </c>
      <c r="E108" s="8">
        <v>349539.75</v>
      </c>
      <c r="F108" s="8">
        <v>361589.15</v>
      </c>
      <c r="G108" s="8">
        <f aca="true" t="shared" si="16" ref="G108:G119">F108-E108</f>
        <v>12049.400000000023</v>
      </c>
      <c r="H108" s="10">
        <f aca="true" t="shared" si="17" ref="H108:H109">G108/E108</f>
        <v>0.03447218807016948</v>
      </c>
      <c r="I108" s="2" t="s">
        <v>115</v>
      </c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1:28" ht="12.75">
      <c r="A109" s="7">
        <v>200</v>
      </c>
      <c r="B109" s="5" t="s">
        <v>10</v>
      </c>
      <c r="C109" s="8">
        <v>82403.19</v>
      </c>
      <c r="D109" s="8">
        <f>74651.92+18221.65+5025.16+14144.25</f>
        <v>112042.98000000001</v>
      </c>
      <c r="E109" s="8">
        <v>119125.74</v>
      </c>
      <c r="F109" s="8">
        <v>126026.25</v>
      </c>
      <c r="G109" s="8">
        <f t="shared" si="16"/>
        <v>6900.509999999995</v>
      </c>
      <c r="H109" s="10">
        <f t="shared" si="17"/>
        <v>0.05792627185358928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ht="12.75">
      <c r="A110" s="7">
        <v>300</v>
      </c>
      <c r="B110" s="5" t="s">
        <v>23</v>
      </c>
      <c r="C110" s="8">
        <v>21361</v>
      </c>
      <c r="D110" s="8">
        <f>10918.15+3198+1092</f>
        <v>15208.15</v>
      </c>
      <c r="E110" s="8">
        <v>22350</v>
      </c>
      <c r="F110" s="8">
        <v>23050</v>
      </c>
      <c r="G110" s="8">
        <f t="shared" si="16"/>
        <v>700</v>
      </c>
      <c r="H110" s="10">
        <v>0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ht="12.75">
      <c r="A111" s="7">
        <v>400</v>
      </c>
      <c r="B111" s="5" t="s">
        <v>24</v>
      </c>
      <c r="C111" s="8">
        <v>0</v>
      </c>
      <c r="D111" s="8">
        <v>0</v>
      </c>
      <c r="E111" s="8">
        <v>0</v>
      </c>
      <c r="F111" s="8">
        <v>0</v>
      </c>
      <c r="G111" s="8">
        <f t="shared" si="16"/>
        <v>0</v>
      </c>
      <c r="H111" s="10">
        <v>0</v>
      </c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ht="12.75">
      <c r="A112" s="7">
        <v>561</v>
      </c>
      <c r="B112" s="5" t="s">
        <v>25</v>
      </c>
      <c r="C112" s="8">
        <v>0</v>
      </c>
      <c r="D112" s="8">
        <v>0</v>
      </c>
      <c r="E112" s="8">
        <v>0</v>
      </c>
      <c r="F112" s="8">
        <v>0</v>
      </c>
      <c r="G112" s="8">
        <f t="shared" si="16"/>
        <v>0</v>
      </c>
      <c r="H112" s="10">
        <v>0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ht="12.75">
      <c r="A113" s="7">
        <v>593</v>
      </c>
      <c r="B113" s="5" t="s">
        <v>26</v>
      </c>
      <c r="C113" s="8">
        <v>0</v>
      </c>
      <c r="D113" s="8">
        <v>0</v>
      </c>
      <c r="E113" s="8">
        <v>0</v>
      </c>
      <c r="F113" s="8">
        <v>0</v>
      </c>
      <c r="G113" s="8">
        <f t="shared" si="16"/>
        <v>0</v>
      </c>
      <c r="H113" s="10">
        <v>0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ht="12.75">
      <c r="A114" s="7">
        <v>566</v>
      </c>
      <c r="B114" s="5" t="s">
        <v>27</v>
      </c>
      <c r="C114" s="8">
        <v>0</v>
      </c>
      <c r="D114" s="8">
        <v>0</v>
      </c>
      <c r="E114" s="8">
        <v>0</v>
      </c>
      <c r="F114" s="8">
        <v>0</v>
      </c>
      <c r="G114" s="8">
        <f t="shared" si="16"/>
        <v>0</v>
      </c>
      <c r="H114" s="10">
        <v>0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ht="12.75">
      <c r="A115" s="7">
        <v>500</v>
      </c>
      <c r="B115" s="5" t="s">
        <v>28</v>
      </c>
      <c r="C115" s="8">
        <v>4430.81</v>
      </c>
      <c r="D115" s="8">
        <v>250.6</v>
      </c>
      <c r="E115" s="8">
        <v>4500</v>
      </c>
      <c r="F115" s="8">
        <v>3000</v>
      </c>
      <c r="G115" s="8">
        <f t="shared" si="16"/>
        <v>-1500</v>
      </c>
      <c r="H115" s="10">
        <v>0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1:28" ht="12.75">
      <c r="A116" s="7">
        <v>600</v>
      </c>
      <c r="B116" s="5" t="s">
        <v>29</v>
      </c>
      <c r="C116" s="8">
        <v>3767.07</v>
      </c>
      <c r="D116" s="8">
        <v>10889.37</v>
      </c>
      <c r="E116" s="8">
        <v>6250</v>
      </c>
      <c r="F116" s="8">
        <v>6250</v>
      </c>
      <c r="G116" s="8">
        <f t="shared" si="16"/>
        <v>0</v>
      </c>
      <c r="H116" s="10">
        <f>G116/E116</f>
        <v>0</v>
      </c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1:28" ht="12.75">
      <c r="A117" s="7">
        <v>700</v>
      </c>
      <c r="B117" s="5" t="s">
        <v>30</v>
      </c>
      <c r="C117" s="8">
        <v>320.26</v>
      </c>
      <c r="D117" s="8">
        <v>240.74</v>
      </c>
      <c r="E117" s="8">
        <v>2000</v>
      </c>
      <c r="F117" s="8">
        <v>2000</v>
      </c>
      <c r="G117" s="8">
        <f t="shared" si="16"/>
        <v>0</v>
      </c>
      <c r="H117" s="10">
        <v>0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1:28" ht="12.75">
      <c r="A118" s="7">
        <v>800</v>
      </c>
      <c r="B118" s="5" t="s">
        <v>31</v>
      </c>
      <c r="C118" s="8">
        <v>0</v>
      </c>
      <c r="D118" s="8">
        <v>15</v>
      </c>
      <c r="E118" s="8">
        <v>2000</v>
      </c>
      <c r="F118" s="8">
        <v>2000</v>
      </c>
      <c r="G118" s="8">
        <f t="shared" si="16"/>
        <v>0</v>
      </c>
      <c r="H118" s="10">
        <v>0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1:28" ht="12.75">
      <c r="A119" s="7">
        <v>900</v>
      </c>
      <c r="B119" s="5" t="s">
        <v>32</v>
      </c>
      <c r="C119" s="8">
        <v>0</v>
      </c>
      <c r="D119" s="8">
        <v>0</v>
      </c>
      <c r="E119" s="8">
        <v>0</v>
      </c>
      <c r="F119" s="8">
        <v>0</v>
      </c>
      <c r="G119" s="8">
        <f t="shared" si="16"/>
        <v>0</v>
      </c>
      <c r="H119" s="10">
        <v>0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ht="12.75">
      <c r="A120" s="5"/>
      <c r="B120" s="5"/>
      <c r="C120" s="8">
        <f aca="true" t="shared" si="18" ref="C120:G120">SUM(C108:C119)</f>
        <v>416495.02</v>
      </c>
      <c r="D120" s="8">
        <f t="shared" si="18"/>
        <v>492830.30999999994</v>
      </c>
      <c r="E120" s="8">
        <f t="shared" si="18"/>
        <v>505765.49</v>
      </c>
      <c r="F120" s="8">
        <f t="shared" si="18"/>
        <v>523915.4</v>
      </c>
      <c r="G120" s="8">
        <f t="shared" si="18"/>
        <v>18149.910000000018</v>
      </c>
      <c r="H120" s="10">
        <f>G120/E120</f>
        <v>0.035886019032259436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ht="12.75">
      <c r="A123" s="2"/>
      <c r="B123" s="2" t="s">
        <v>76</v>
      </c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ht="12.75">
      <c r="A124" s="5"/>
      <c r="B124" s="11" t="s">
        <v>16</v>
      </c>
      <c r="C124" s="12" t="s">
        <v>17</v>
      </c>
      <c r="D124" s="12" t="s">
        <v>18</v>
      </c>
      <c r="E124" s="12" t="s">
        <v>19</v>
      </c>
      <c r="F124" s="12" t="s">
        <v>20</v>
      </c>
      <c r="G124" s="11" t="s">
        <v>7</v>
      </c>
      <c r="H124" s="12" t="s">
        <v>21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ht="12.75">
      <c r="A125" s="5"/>
      <c r="B125" s="5"/>
      <c r="C125" s="5"/>
      <c r="D125" s="5"/>
      <c r="E125" s="5"/>
      <c r="F125" s="5"/>
      <c r="G125" s="5"/>
      <c r="H125" s="5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1:28" ht="12.75">
      <c r="A126" s="7">
        <v>100</v>
      </c>
      <c r="B126" s="5" t="s">
        <v>22</v>
      </c>
      <c r="C126" s="8">
        <v>275553.33</v>
      </c>
      <c r="D126" s="8">
        <v>155920.57</v>
      </c>
      <c r="E126" s="8">
        <v>228673</v>
      </c>
      <c r="F126" s="8">
        <v>233736.44</v>
      </c>
      <c r="G126" s="8">
        <f aca="true" t="shared" si="19" ref="G126:G137">F126-E126</f>
        <v>5063.440000000002</v>
      </c>
      <c r="H126" s="10">
        <f aca="true" t="shared" si="20" ref="H126:H129">G126/E126</f>
        <v>0.02214271033309574</v>
      </c>
      <c r="I126" s="2" t="s">
        <v>116</v>
      </c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ht="12.75">
      <c r="A127" s="7">
        <v>200</v>
      </c>
      <c r="B127" s="5" t="s">
        <v>10</v>
      </c>
      <c r="C127" s="8">
        <v>92092.3</v>
      </c>
      <c r="D127" s="8">
        <v>52744.08</v>
      </c>
      <c r="E127" s="8">
        <v>79322.69</v>
      </c>
      <c r="F127" s="8">
        <v>71390</v>
      </c>
      <c r="G127" s="8">
        <f t="shared" si="19"/>
        <v>-7932.690000000002</v>
      </c>
      <c r="H127" s="10">
        <f t="shared" si="20"/>
        <v>-0.10000530743473277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ht="12.75">
      <c r="A128" s="7">
        <v>300</v>
      </c>
      <c r="B128" s="5" t="s">
        <v>23</v>
      </c>
      <c r="C128" s="8">
        <v>122.04</v>
      </c>
      <c r="D128" s="8">
        <v>11499.45</v>
      </c>
      <c r="E128" s="8">
        <v>17389</v>
      </c>
      <c r="F128" s="8">
        <v>17580</v>
      </c>
      <c r="G128" s="8">
        <f t="shared" si="19"/>
        <v>191</v>
      </c>
      <c r="H128" s="10">
        <f t="shared" si="20"/>
        <v>0.010983955374087067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ht="12.75">
      <c r="A129" s="7">
        <v>400</v>
      </c>
      <c r="B129" s="5" t="s">
        <v>79</v>
      </c>
      <c r="C129" s="8">
        <v>10426.93</v>
      </c>
      <c r="D129" s="8">
        <v>8709.15</v>
      </c>
      <c r="E129" s="8">
        <v>12500</v>
      </c>
      <c r="F129" s="8">
        <v>12500</v>
      </c>
      <c r="G129" s="8">
        <f t="shared" si="19"/>
        <v>0</v>
      </c>
      <c r="H129" s="10">
        <f t="shared" si="20"/>
        <v>0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ht="12.75">
      <c r="A130" s="7">
        <v>561</v>
      </c>
      <c r="B130" s="5" t="s">
        <v>25</v>
      </c>
      <c r="C130" s="8">
        <v>0</v>
      </c>
      <c r="D130" s="8">
        <v>0</v>
      </c>
      <c r="E130" s="8">
        <v>0</v>
      </c>
      <c r="F130" s="8">
        <v>0</v>
      </c>
      <c r="G130" s="8">
        <f t="shared" si="19"/>
        <v>0</v>
      </c>
      <c r="H130" s="10">
        <v>0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:28" ht="12.75">
      <c r="A131" s="7">
        <v>593</v>
      </c>
      <c r="B131" s="5" t="s">
        <v>26</v>
      </c>
      <c r="C131" s="8">
        <v>0</v>
      </c>
      <c r="D131" s="8">
        <v>0</v>
      </c>
      <c r="E131" s="8">
        <v>0</v>
      </c>
      <c r="F131" s="8">
        <v>0</v>
      </c>
      <c r="G131" s="8">
        <f t="shared" si="19"/>
        <v>0</v>
      </c>
      <c r="H131" s="10">
        <v>0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1:28" ht="12.75">
      <c r="A132" s="7">
        <v>566</v>
      </c>
      <c r="B132" s="5" t="s">
        <v>27</v>
      </c>
      <c r="C132" s="8">
        <v>0</v>
      </c>
      <c r="D132" s="8">
        <v>0</v>
      </c>
      <c r="E132" s="8">
        <v>0</v>
      </c>
      <c r="F132" s="8">
        <v>0</v>
      </c>
      <c r="G132" s="8">
        <f t="shared" si="19"/>
        <v>0</v>
      </c>
      <c r="H132" s="10">
        <v>0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1:28" ht="12.75">
      <c r="A133" s="7">
        <v>500</v>
      </c>
      <c r="B133" s="5" t="s">
        <v>28</v>
      </c>
      <c r="C133" s="8">
        <v>3926.97</v>
      </c>
      <c r="D133" s="8">
        <v>3583.49</v>
      </c>
      <c r="E133" s="8">
        <v>7000</v>
      </c>
      <c r="F133" s="8">
        <v>7000</v>
      </c>
      <c r="G133" s="8">
        <f t="shared" si="19"/>
        <v>0</v>
      </c>
      <c r="H133" s="10">
        <v>0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:28" ht="12.75">
      <c r="A134" s="7">
        <v>600</v>
      </c>
      <c r="B134" s="5" t="s">
        <v>29</v>
      </c>
      <c r="C134" s="8">
        <v>10964.71</v>
      </c>
      <c r="D134" s="8">
        <v>7804.98</v>
      </c>
      <c r="E134" s="8">
        <v>17450</v>
      </c>
      <c r="F134" s="8">
        <v>17450</v>
      </c>
      <c r="G134" s="8">
        <f t="shared" si="19"/>
        <v>0</v>
      </c>
      <c r="H134" s="10">
        <f>G134/E134</f>
        <v>0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1:28" ht="12.75">
      <c r="A135" s="7">
        <v>700</v>
      </c>
      <c r="B135" s="5" t="s">
        <v>30</v>
      </c>
      <c r="C135" s="8">
        <v>0</v>
      </c>
      <c r="D135" s="8">
        <v>0</v>
      </c>
      <c r="E135" s="8">
        <v>750</v>
      </c>
      <c r="F135" s="8">
        <v>750</v>
      </c>
      <c r="G135" s="8">
        <f t="shared" si="19"/>
        <v>0</v>
      </c>
      <c r="H135" s="10">
        <v>0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1:28" ht="12.75">
      <c r="A136" s="7">
        <v>800</v>
      </c>
      <c r="B136" s="5" t="s">
        <v>31</v>
      </c>
      <c r="C136" s="8">
        <v>3026.93</v>
      </c>
      <c r="D136" s="8">
        <v>3864</v>
      </c>
      <c r="E136" s="8">
        <v>6000</v>
      </c>
      <c r="F136" s="8">
        <v>6000</v>
      </c>
      <c r="G136" s="8">
        <f t="shared" si="19"/>
        <v>0</v>
      </c>
      <c r="H136" s="10">
        <f>G136/E136</f>
        <v>0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1:28" ht="12.75">
      <c r="A137" s="7">
        <v>900</v>
      </c>
      <c r="B137" s="5" t="s">
        <v>32</v>
      </c>
      <c r="C137" s="8">
        <v>0</v>
      </c>
      <c r="D137" s="8">
        <v>0</v>
      </c>
      <c r="E137" s="8">
        <v>0</v>
      </c>
      <c r="F137" s="8">
        <v>0</v>
      </c>
      <c r="G137" s="8">
        <f t="shared" si="19"/>
        <v>0</v>
      </c>
      <c r="H137" s="10">
        <v>0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:28" ht="12.75">
      <c r="A138" s="5"/>
      <c r="B138" s="5"/>
      <c r="C138" s="8">
        <f aca="true" t="shared" si="21" ref="C138:G138">SUM(C126:C137)</f>
        <v>396113.20999999996</v>
      </c>
      <c r="D138" s="8">
        <f t="shared" si="21"/>
        <v>244125.72</v>
      </c>
      <c r="E138" s="8">
        <f t="shared" si="21"/>
        <v>369084.69</v>
      </c>
      <c r="F138" s="8">
        <f t="shared" si="21"/>
        <v>366406.44</v>
      </c>
      <c r="G138" s="8">
        <f t="shared" si="21"/>
        <v>-2678.25</v>
      </c>
      <c r="H138" s="10">
        <f>G138/E138</f>
        <v>-0.007256464634173799</v>
      </c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:28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1:28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1:28" ht="12.75">
      <c r="A141" s="2"/>
      <c r="B141" s="2" t="s">
        <v>78</v>
      </c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1:28" ht="12.75">
      <c r="A142" s="5"/>
      <c r="B142" s="11" t="s">
        <v>16</v>
      </c>
      <c r="C142" s="12" t="s">
        <v>17</v>
      </c>
      <c r="D142" s="12" t="s">
        <v>18</v>
      </c>
      <c r="E142" s="12" t="s">
        <v>19</v>
      </c>
      <c r="F142" s="12" t="s">
        <v>20</v>
      </c>
      <c r="G142" s="11" t="s">
        <v>7</v>
      </c>
      <c r="H142" s="12" t="s">
        <v>21</v>
      </c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1:28" ht="12.75">
      <c r="A143" s="5"/>
      <c r="B143" s="5"/>
      <c r="C143" s="5"/>
      <c r="D143" s="5"/>
      <c r="E143" s="5"/>
      <c r="F143" s="5"/>
      <c r="G143" s="5"/>
      <c r="H143" s="5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:28" ht="12.75">
      <c r="A144" s="7">
        <v>100</v>
      </c>
      <c r="B144" s="5" t="s">
        <v>22</v>
      </c>
      <c r="C144" s="8">
        <v>0</v>
      </c>
      <c r="D144" s="8">
        <v>0</v>
      </c>
      <c r="E144" s="8">
        <v>0</v>
      </c>
      <c r="F144" s="8">
        <v>0</v>
      </c>
      <c r="G144" s="8">
        <f aca="true" t="shared" si="22" ref="G144:G153">F144-E144</f>
        <v>0</v>
      </c>
      <c r="H144" s="10">
        <v>0</v>
      </c>
      <c r="I144" s="2" t="s">
        <v>3</v>
      </c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:28" ht="12.75">
      <c r="A145" s="7">
        <v>200</v>
      </c>
      <c r="B145" s="5" t="s">
        <v>10</v>
      </c>
      <c r="C145" s="8">
        <v>0</v>
      </c>
      <c r="D145" s="8">
        <v>0</v>
      </c>
      <c r="E145" s="8">
        <v>0</v>
      </c>
      <c r="F145" s="8">
        <v>0</v>
      </c>
      <c r="G145" s="8">
        <f t="shared" si="22"/>
        <v>0</v>
      </c>
      <c r="H145" s="10">
        <v>0</v>
      </c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:28" ht="12.75">
      <c r="A146" s="7">
        <v>300</v>
      </c>
      <c r="B146" s="5" t="s">
        <v>23</v>
      </c>
      <c r="C146" s="8">
        <v>0</v>
      </c>
      <c r="D146" s="8">
        <v>0</v>
      </c>
      <c r="E146" s="8">
        <v>0</v>
      </c>
      <c r="F146" s="8">
        <v>0</v>
      </c>
      <c r="G146" s="8">
        <f t="shared" si="22"/>
        <v>0</v>
      </c>
      <c r="H146" s="10">
        <v>0</v>
      </c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 ht="12.75">
      <c r="A147" s="7">
        <v>400</v>
      </c>
      <c r="B147" s="5" t="s">
        <v>79</v>
      </c>
      <c r="C147" s="8">
        <v>0</v>
      </c>
      <c r="D147" s="8">
        <v>0</v>
      </c>
      <c r="E147" s="8">
        <v>0</v>
      </c>
      <c r="F147" s="8">
        <v>0</v>
      </c>
      <c r="G147" s="8">
        <f t="shared" si="22"/>
        <v>0</v>
      </c>
      <c r="H147" s="10">
        <v>0</v>
      </c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:28" ht="12.75">
      <c r="A148" s="7">
        <v>561</v>
      </c>
      <c r="B148" s="5" t="s">
        <v>25</v>
      </c>
      <c r="C148" s="8">
        <v>0</v>
      </c>
      <c r="D148" s="8">
        <v>0</v>
      </c>
      <c r="E148" s="8">
        <v>0</v>
      </c>
      <c r="F148" s="8">
        <v>0</v>
      </c>
      <c r="G148" s="8">
        <f t="shared" si="22"/>
        <v>0</v>
      </c>
      <c r="H148" s="10">
        <v>0</v>
      </c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:28" ht="12.75">
      <c r="A149" s="7">
        <v>593</v>
      </c>
      <c r="B149" s="5" t="s">
        <v>26</v>
      </c>
      <c r="C149" s="8">
        <v>0</v>
      </c>
      <c r="D149" s="8">
        <v>0</v>
      </c>
      <c r="E149" s="8">
        <v>0</v>
      </c>
      <c r="F149" s="8">
        <v>0</v>
      </c>
      <c r="G149" s="8">
        <f t="shared" si="22"/>
        <v>0</v>
      </c>
      <c r="H149" s="10">
        <v>0</v>
      </c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 ht="12.75">
      <c r="A150" s="7">
        <v>566</v>
      </c>
      <c r="B150" s="5" t="s">
        <v>27</v>
      </c>
      <c r="C150" s="8">
        <v>0</v>
      </c>
      <c r="D150" s="8">
        <v>0</v>
      </c>
      <c r="E150" s="8">
        <v>0</v>
      </c>
      <c r="F150" s="8">
        <v>0</v>
      </c>
      <c r="G150" s="8">
        <f t="shared" si="22"/>
        <v>0</v>
      </c>
      <c r="H150" s="10">
        <v>0</v>
      </c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 ht="12.75">
      <c r="A151" s="7">
        <v>500</v>
      </c>
      <c r="B151" s="5" t="s">
        <v>28</v>
      </c>
      <c r="C151" s="8">
        <v>0</v>
      </c>
      <c r="D151" s="8">
        <v>0</v>
      </c>
      <c r="E151" s="8">
        <v>0</v>
      </c>
      <c r="F151" s="8">
        <v>0</v>
      </c>
      <c r="G151" s="8">
        <f t="shared" si="22"/>
        <v>0</v>
      </c>
      <c r="H151" s="10">
        <v>0</v>
      </c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 ht="12.75">
      <c r="A152" s="7">
        <v>600</v>
      </c>
      <c r="B152" s="5" t="s">
        <v>29</v>
      </c>
      <c r="C152" s="8">
        <v>0</v>
      </c>
      <c r="D152" s="8">
        <v>0</v>
      </c>
      <c r="E152" s="8">
        <v>0</v>
      </c>
      <c r="F152" s="8">
        <v>0</v>
      </c>
      <c r="G152" s="8">
        <f t="shared" si="22"/>
        <v>0</v>
      </c>
      <c r="H152" s="10">
        <v>0</v>
      </c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:28" ht="12.75">
      <c r="A153" s="7">
        <v>700</v>
      </c>
      <c r="B153" s="5" t="s">
        <v>30</v>
      </c>
      <c r="C153" s="8">
        <v>0</v>
      </c>
      <c r="D153" s="8">
        <v>0</v>
      </c>
      <c r="E153" s="8">
        <v>0</v>
      </c>
      <c r="F153" s="8">
        <v>0</v>
      </c>
      <c r="G153" s="8">
        <f t="shared" si="22"/>
        <v>0</v>
      </c>
      <c r="H153" s="10">
        <v>0</v>
      </c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:28" ht="12.75">
      <c r="A154" s="7">
        <v>800</v>
      </c>
      <c r="B154" s="5" t="s">
        <v>31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10">
        <v>0</v>
      </c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:28" ht="12.75">
      <c r="A155" s="7">
        <v>900</v>
      </c>
      <c r="B155" s="5" t="s">
        <v>32</v>
      </c>
      <c r="C155" s="8">
        <v>0</v>
      </c>
      <c r="D155" s="8">
        <v>0</v>
      </c>
      <c r="E155" s="8">
        <v>0</v>
      </c>
      <c r="F155" s="8">
        <v>0</v>
      </c>
      <c r="G155" s="8">
        <f>F155-E155</f>
        <v>0</v>
      </c>
      <c r="H155" s="10">
        <v>0</v>
      </c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:28" ht="12.75">
      <c r="A156" s="5"/>
      <c r="B156" s="5"/>
      <c r="C156" s="8">
        <f>SUM(C144:C155)</f>
        <v>0</v>
      </c>
      <c r="D156" s="8">
        <v>0</v>
      </c>
      <c r="E156" s="8">
        <f aca="true" t="shared" si="23" ref="E156:G156">SUM(E144:E155)</f>
        <v>0</v>
      </c>
      <c r="F156" s="8">
        <f t="shared" si="23"/>
        <v>0</v>
      </c>
      <c r="G156" s="8">
        <f t="shared" si="23"/>
        <v>0</v>
      </c>
      <c r="H156" s="10">
        <v>0</v>
      </c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:28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:28" ht="12.75">
      <c r="A159" s="2"/>
      <c r="B159" s="2" t="s">
        <v>80</v>
      </c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 ht="12.75">
      <c r="A160" s="5"/>
      <c r="B160" s="11" t="s">
        <v>16</v>
      </c>
      <c r="C160" s="12" t="s">
        <v>17</v>
      </c>
      <c r="D160" s="12" t="s">
        <v>18</v>
      </c>
      <c r="E160" s="12" t="s">
        <v>19</v>
      </c>
      <c r="F160" s="12" t="s">
        <v>20</v>
      </c>
      <c r="G160" s="11" t="s">
        <v>7</v>
      </c>
      <c r="H160" s="12" t="s">
        <v>21</v>
      </c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:28" ht="12.75">
      <c r="A161" s="5"/>
      <c r="B161" s="5"/>
      <c r="C161" s="5"/>
      <c r="D161" s="5"/>
      <c r="E161" s="5"/>
      <c r="F161" s="5"/>
      <c r="G161" s="5"/>
      <c r="H161" s="5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:28" ht="12.75">
      <c r="A162" s="7">
        <v>100</v>
      </c>
      <c r="B162" s="5" t="s">
        <v>22</v>
      </c>
      <c r="C162" s="8">
        <v>196196.19</v>
      </c>
      <c r="D162" s="8">
        <v>169174.18</v>
      </c>
      <c r="E162" s="8">
        <v>190228.28</v>
      </c>
      <c r="F162" s="8">
        <v>178900</v>
      </c>
      <c r="G162" s="8">
        <f aca="true" t="shared" si="24" ref="G162:G173">F162-E162</f>
        <v>-11328.279999999999</v>
      </c>
      <c r="H162" s="10">
        <f aca="true" t="shared" si="25" ref="H162:H163">G162/E162</f>
        <v>-0.059550977383594064</v>
      </c>
      <c r="I162" s="2" t="s">
        <v>117</v>
      </c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:28" ht="12.75">
      <c r="A163" s="7">
        <v>200</v>
      </c>
      <c r="B163" s="5" t="s">
        <v>10</v>
      </c>
      <c r="C163" s="8">
        <v>68294.5</v>
      </c>
      <c r="D163" s="8">
        <v>74463.01</v>
      </c>
      <c r="E163" s="8">
        <v>78865.7</v>
      </c>
      <c r="F163" s="8">
        <v>72476.8</v>
      </c>
      <c r="G163" s="8">
        <f t="shared" si="24"/>
        <v>-6388.899999999994</v>
      </c>
      <c r="H163" s="10">
        <f t="shared" si="25"/>
        <v>-0.08100986867548243</v>
      </c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:28" ht="12.75">
      <c r="A164" s="7">
        <v>300</v>
      </c>
      <c r="B164" s="5" t="s">
        <v>23</v>
      </c>
      <c r="C164" s="8">
        <v>6868.38</v>
      </c>
      <c r="D164" s="8">
        <v>9672.84</v>
      </c>
      <c r="E164" s="8">
        <v>12500</v>
      </c>
      <c r="F164" s="8">
        <v>43554</v>
      </c>
      <c r="G164" s="8">
        <f t="shared" si="24"/>
        <v>31054</v>
      </c>
      <c r="H164" s="10">
        <v>0</v>
      </c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:28" ht="12.75">
      <c r="A165" s="7">
        <v>400</v>
      </c>
      <c r="B165" s="5" t="s">
        <v>24</v>
      </c>
      <c r="C165" s="8">
        <v>96065.19</v>
      </c>
      <c r="D165" s="8">
        <v>90865.16</v>
      </c>
      <c r="E165" s="8">
        <v>103000</v>
      </c>
      <c r="F165" s="8">
        <v>103700</v>
      </c>
      <c r="G165" s="8">
        <f t="shared" si="24"/>
        <v>700</v>
      </c>
      <c r="H165" s="10">
        <f>G165/E165</f>
        <v>0.006796116504854369</v>
      </c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:28" ht="12.75">
      <c r="A166" s="7">
        <v>561</v>
      </c>
      <c r="B166" s="5" t="s">
        <v>25</v>
      </c>
      <c r="C166" s="8">
        <v>0</v>
      </c>
      <c r="D166" s="8">
        <v>0</v>
      </c>
      <c r="E166" s="8">
        <v>0</v>
      </c>
      <c r="F166" s="8">
        <v>0</v>
      </c>
      <c r="G166" s="8">
        <f t="shared" si="24"/>
        <v>0</v>
      </c>
      <c r="H166" s="10">
        <v>0</v>
      </c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1:28" ht="12.75">
      <c r="A167" s="7">
        <v>593</v>
      </c>
      <c r="B167" s="5" t="s">
        <v>26</v>
      </c>
      <c r="C167" s="8">
        <v>0</v>
      </c>
      <c r="D167" s="8">
        <v>0</v>
      </c>
      <c r="E167" s="8">
        <v>0</v>
      </c>
      <c r="F167" s="8">
        <v>0</v>
      </c>
      <c r="G167" s="8">
        <f t="shared" si="24"/>
        <v>0</v>
      </c>
      <c r="H167" s="10">
        <v>0</v>
      </c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1:28" ht="12.75">
      <c r="A168" s="7">
        <v>566</v>
      </c>
      <c r="B168" s="5" t="s">
        <v>27</v>
      </c>
      <c r="C168" s="8">
        <v>0</v>
      </c>
      <c r="D168" s="8">
        <v>0</v>
      </c>
      <c r="E168" s="8">
        <v>0</v>
      </c>
      <c r="F168" s="8">
        <v>0</v>
      </c>
      <c r="G168" s="8">
        <f t="shared" si="24"/>
        <v>0</v>
      </c>
      <c r="H168" s="10">
        <v>0</v>
      </c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1:28" ht="12.75">
      <c r="A169" s="7">
        <v>500</v>
      </c>
      <c r="B169" s="5" t="s">
        <v>28</v>
      </c>
      <c r="C169" s="8">
        <v>22830.14</v>
      </c>
      <c r="D169" s="8">
        <v>22950.81</v>
      </c>
      <c r="E169" s="8">
        <v>23000</v>
      </c>
      <c r="F169" s="8">
        <v>23000</v>
      </c>
      <c r="G169" s="8">
        <f t="shared" si="24"/>
        <v>0</v>
      </c>
      <c r="H169" s="10">
        <f aca="true" t="shared" si="26" ref="H169:H170">G169/E169</f>
        <v>0</v>
      </c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:28" ht="12.75">
      <c r="A170" s="7">
        <v>600</v>
      </c>
      <c r="B170" s="5" t="s">
        <v>29</v>
      </c>
      <c r="C170" s="8">
        <v>193227.47</v>
      </c>
      <c r="D170" s="8">
        <v>207514.42</v>
      </c>
      <c r="E170" s="8">
        <v>244000</v>
      </c>
      <c r="F170" s="8">
        <v>244000</v>
      </c>
      <c r="G170" s="8">
        <f t="shared" si="24"/>
        <v>0</v>
      </c>
      <c r="H170" s="10">
        <f t="shared" si="26"/>
        <v>0</v>
      </c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1:28" ht="12.75">
      <c r="A171" s="7">
        <v>700</v>
      </c>
      <c r="B171" s="5" t="s">
        <v>30</v>
      </c>
      <c r="C171" s="8">
        <v>7896.36</v>
      </c>
      <c r="D171" s="8">
        <v>14419.89</v>
      </c>
      <c r="E171" s="8">
        <v>17000</v>
      </c>
      <c r="F171" s="8">
        <v>17000</v>
      </c>
      <c r="G171" s="8">
        <f t="shared" si="24"/>
        <v>0</v>
      </c>
      <c r="H171" s="10">
        <v>0</v>
      </c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:28" ht="12.75">
      <c r="A172" s="7">
        <v>800</v>
      </c>
      <c r="B172" s="5" t="s">
        <v>31</v>
      </c>
      <c r="C172" s="8">
        <v>0</v>
      </c>
      <c r="D172" s="8">
        <v>0</v>
      </c>
      <c r="E172" s="8">
        <v>0</v>
      </c>
      <c r="F172" s="8">
        <v>0</v>
      </c>
      <c r="G172" s="8">
        <f t="shared" si="24"/>
        <v>0</v>
      </c>
      <c r="H172" s="10">
        <v>0</v>
      </c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:28" ht="12.75">
      <c r="A173" s="7">
        <v>900</v>
      </c>
      <c r="B173" s="5" t="s">
        <v>32</v>
      </c>
      <c r="C173" s="8">
        <v>0</v>
      </c>
      <c r="D173" s="8">
        <v>0</v>
      </c>
      <c r="E173" s="8">
        <v>0</v>
      </c>
      <c r="F173" s="8">
        <v>0</v>
      </c>
      <c r="G173" s="8">
        <f t="shared" si="24"/>
        <v>0</v>
      </c>
      <c r="H173" s="10">
        <v>0</v>
      </c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:28" ht="12.75">
      <c r="A174" s="5"/>
      <c r="B174" s="5"/>
      <c r="C174" s="8">
        <f aca="true" t="shared" si="27" ref="C174:G174">SUM(C162:C173)</f>
        <v>591378.23</v>
      </c>
      <c r="D174" s="8">
        <f t="shared" si="27"/>
        <v>589060.31</v>
      </c>
      <c r="E174" s="8">
        <f t="shared" si="27"/>
        <v>668593.98</v>
      </c>
      <c r="F174" s="8">
        <f t="shared" si="27"/>
        <v>682630.8</v>
      </c>
      <c r="G174" s="8">
        <f t="shared" si="27"/>
        <v>14036.820000000007</v>
      </c>
      <c r="H174" s="10">
        <f>G174/E174</f>
        <v>0.020994535427913973</v>
      </c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:28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1:28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1:28" ht="12.75">
      <c r="A177" s="2"/>
      <c r="B177" s="2" t="s">
        <v>82</v>
      </c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1:28" ht="12.75">
      <c r="A178" s="5"/>
      <c r="B178" s="11" t="s">
        <v>16</v>
      </c>
      <c r="C178" s="12" t="s">
        <v>17</v>
      </c>
      <c r="D178" s="12" t="s">
        <v>18</v>
      </c>
      <c r="E178" s="12" t="s">
        <v>19</v>
      </c>
      <c r="F178" s="12" t="s">
        <v>20</v>
      </c>
      <c r="G178" s="11" t="s">
        <v>7</v>
      </c>
      <c r="H178" s="12" t="s">
        <v>21</v>
      </c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1:28" ht="12.75">
      <c r="A179" s="5"/>
      <c r="B179" s="5"/>
      <c r="C179" s="5"/>
      <c r="D179" s="5"/>
      <c r="E179" s="5"/>
      <c r="F179" s="5"/>
      <c r="G179" s="5"/>
      <c r="H179" s="5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1:28" ht="12.75">
      <c r="A180" s="7">
        <v>100</v>
      </c>
      <c r="B180" s="5" t="s">
        <v>22</v>
      </c>
      <c r="C180" s="8">
        <v>289630.81</v>
      </c>
      <c r="D180" s="8">
        <v>273017.75</v>
      </c>
      <c r="E180" s="8">
        <f>279156-4448</f>
        <v>274708</v>
      </c>
      <c r="F180" s="8">
        <v>263817</v>
      </c>
      <c r="G180" s="8">
        <f aca="true" t="shared" si="28" ref="G180:G191">F180-E180</f>
        <v>-10891</v>
      </c>
      <c r="H180" s="10">
        <f aca="true" t="shared" si="29" ref="H180:H181">G180/E180</f>
        <v>-0.03964573292368624</v>
      </c>
      <c r="I180" s="2" t="s">
        <v>118</v>
      </c>
      <c r="J180" s="2" t="s">
        <v>3</v>
      </c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1:28" ht="12.75">
      <c r="A181" s="7">
        <v>200</v>
      </c>
      <c r="B181" s="5" t="s">
        <v>10</v>
      </c>
      <c r="C181" s="8">
        <v>168652.84</v>
      </c>
      <c r="D181" s="8">
        <v>188645.95</v>
      </c>
      <c r="E181" s="8">
        <f>204999.24-5597</f>
        <v>199402.24</v>
      </c>
      <c r="F181" s="8">
        <v>189040.2</v>
      </c>
      <c r="G181" s="8">
        <f t="shared" si="28"/>
        <v>-10362.039999999979</v>
      </c>
      <c r="H181" s="10">
        <f t="shared" si="29"/>
        <v>-0.051965514529826645</v>
      </c>
      <c r="I181" s="2" t="s">
        <v>3</v>
      </c>
      <c r="J181" s="2" t="s">
        <v>3</v>
      </c>
      <c r="K181" s="2" t="s">
        <v>3</v>
      </c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1:28" ht="12.75">
      <c r="A182" s="7">
        <v>300</v>
      </c>
      <c r="B182" s="5" t="s">
        <v>23</v>
      </c>
      <c r="C182" s="8">
        <v>0</v>
      </c>
      <c r="D182" s="8">
        <v>0</v>
      </c>
      <c r="E182" s="8">
        <v>0</v>
      </c>
      <c r="F182" s="8">
        <v>0</v>
      </c>
      <c r="G182" s="8">
        <f t="shared" si="28"/>
        <v>0</v>
      </c>
      <c r="H182" s="10">
        <v>0</v>
      </c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1:28" ht="12.75">
      <c r="A183" s="7">
        <v>400</v>
      </c>
      <c r="B183" s="5" t="s">
        <v>24</v>
      </c>
      <c r="C183" s="8">
        <v>0</v>
      </c>
      <c r="D183" s="8">
        <v>0</v>
      </c>
      <c r="E183" s="8">
        <v>0</v>
      </c>
      <c r="F183" s="8">
        <v>0</v>
      </c>
      <c r="G183" s="8">
        <f t="shared" si="28"/>
        <v>0</v>
      </c>
      <c r="H183" s="10">
        <v>0</v>
      </c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1:28" ht="12.75">
      <c r="A184" s="7">
        <v>561</v>
      </c>
      <c r="B184" s="5" t="s">
        <v>25</v>
      </c>
      <c r="C184" s="8">
        <v>0</v>
      </c>
      <c r="D184" s="8">
        <v>0</v>
      </c>
      <c r="E184" s="8">
        <v>0</v>
      </c>
      <c r="F184" s="8">
        <v>0</v>
      </c>
      <c r="G184" s="8">
        <f t="shared" si="28"/>
        <v>0</v>
      </c>
      <c r="H184" s="10">
        <v>0</v>
      </c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 ht="12.75">
      <c r="A185" s="7">
        <v>593</v>
      </c>
      <c r="B185" s="5" t="s">
        <v>26</v>
      </c>
      <c r="C185" s="8">
        <v>0</v>
      </c>
      <c r="D185" s="8">
        <v>0</v>
      </c>
      <c r="E185" s="8">
        <v>0</v>
      </c>
      <c r="F185" s="8">
        <v>0</v>
      </c>
      <c r="G185" s="8">
        <f t="shared" si="28"/>
        <v>0</v>
      </c>
      <c r="H185" s="10">
        <v>0</v>
      </c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:28" ht="12.75">
      <c r="A186" s="7">
        <v>566</v>
      </c>
      <c r="B186" s="5" t="s">
        <v>27</v>
      </c>
      <c r="C186" s="8">
        <v>0</v>
      </c>
      <c r="D186" s="8">
        <v>0</v>
      </c>
      <c r="E186" s="8">
        <v>0</v>
      </c>
      <c r="F186" s="8">
        <v>0</v>
      </c>
      <c r="G186" s="8">
        <f t="shared" si="28"/>
        <v>0</v>
      </c>
      <c r="H186" s="10">
        <v>0</v>
      </c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ht="12.75">
      <c r="A187" s="7">
        <v>500</v>
      </c>
      <c r="B187" s="5" t="s">
        <v>28</v>
      </c>
      <c r="C187" s="8">
        <v>0</v>
      </c>
      <c r="D187" s="8">
        <v>0</v>
      </c>
      <c r="E187" s="8">
        <v>0</v>
      </c>
      <c r="F187" s="8">
        <v>0</v>
      </c>
      <c r="G187" s="8">
        <f t="shared" si="28"/>
        <v>0</v>
      </c>
      <c r="H187" s="10">
        <v>0</v>
      </c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ht="12.75">
      <c r="A188" s="7">
        <v>600</v>
      </c>
      <c r="B188" s="5" t="s">
        <v>29</v>
      </c>
      <c r="C188" s="8">
        <v>0</v>
      </c>
      <c r="D188" s="8">
        <v>0</v>
      </c>
      <c r="E188" s="8">
        <v>0</v>
      </c>
      <c r="F188" s="8">
        <v>0</v>
      </c>
      <c r="G188" s="8">
        <f t="shared" si="28"/>
        <v>0</v>
      </c>
      <c r="H188" s="10">
        <v>0</v>
      </c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ht="12.75">
      <c r="A189" s="7">
        <v>700</v>
      </c>
      <c r="B189" s="5" t="s">
        <v>30</v>
      </c>
      <c r="C189" s="8">
        <v>0</v>
      </c>
      <c r="D189" s="8">
        <v>0</v>
      </c>
      <c r="E189" s="8">
        <v>0</v>
      </c>
      <c r="F189" s="8">
        <v>0</v>
      </c>
      <c r="G189" s="8">
        <f t="shared" si="28"/>
        <v>0</v>
      </c>
      <c r="H189" s="10">
        <v>0</v>
      </c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 ht="12.75">
      <c r="A190" s="7">
        <v>800</v>
      </c>
      <c r="B190" s="5" t="s">
        <v>31</v>
      </c>
      <c r="C190" s="8">
        <v>0</v>
      </c>
      <c r="D190" s="8">
        <v>0</v>
      </c>
      <c r="E190" s="8">
        <v>0</v>
      </c>
      <c r="F190" s="8">
        <v>0</v>
      </c>
      <c r="G190" s="8">
        <f t="shared" si="28"/>
        <v>0</v>
      </c>
      <c r="H190" s="10">
        <v>0</v>
      </c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ht="12.75">
      <c r="A191" s="7">
        <v>900</v>
      </c>
      <c r="B191" s="5" t="s">
        <v>32</v>
      </c>
      <c r="C191" s="8">
        <v>0</v>
      </c>
      <c r="D191" s="8">
        <v>0</v>
      </c>
      <c r="E191" s="8">
        <v>0</v>
      </c>
      <c r="F191" s="8">
        <v>0</v>
      </c>
      <c r="G191" s="8">
        <f t="shared" si="28"/>
        <v>0</v>
      </c>
      <c r="H191" s="10">
        <v>0</v>
      </c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ht="12.75">
      <c r="A192" s="5"/>
      <c r="B192" s="5"/>
      <c r="C192" s="8">
        <f aca="true" t="shared" si="30" ref="C192:G192">SUM(C180:C191)</f>
        <v>458283.65</v>
      </c>
      <c r="D192" s="8">
        <f t="shared" si="30"/>
        <v>461663.7</v>
      </c>
      <c r="E192" s="8">
        <f t="shared" si="30"/>
        <v>474110.24</v>
      </c>
      <c r="F192" s="8">
        <f t="shared" si="30"/>
        <v>452857.2</v>
      </c>
      <c r="G192" s="8">
        <f t="shared" si="30"/>
        <v>-21253.03999999998</v>
      </c>
      <c r="H192" s="10">
        <f>G192/E192</f>
        <v>-0.0448272114941031</v>
      </c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 ht="12.75">
      <c r="A195" s="2"/>
      <c r="B195" s="2" t="s">
        <v>84</v>
      </c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 ht="12.75">
      <c r="A196" s="5"/>
      <c r="B196" s="11" t="s">
        <v>16</v>
      </c>
      <c r="C196" s="12" t="s">
        <v>17</v>
      </c>
      <c r="D196" s="12" t="s">
        <v>18</v>
      </c>
      <c r="E196" s="12" t="s">
        <v>19</v>
      </c>
      <c r="F196" s="12" t="s">
        <v>20</v>
      </c>
      <c r="G196" s="11" t="s">
        <v>7</v>
      </c>
      <c r="H196" s="12" t="s">
        <v>21</v>
      </c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 ht="12.75">
      <c r="A197" s="5"/>
      <c r="B197" s="5"/>
      <c r="C197" s="5"/>
      <c r="D197" s="5"/>
      <c r="E197" s="5"/>
      <c r="F197" s="5"/>
      <c r="G197" s="5"/>
      <c r="H197" s="5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1:28" ht="12.75">
      <c r="A198" s="7">
        <v>100</v>
      </c>
      <c r="B198" s="5" t="s">
        <v>22</v>
      </c>
      <c r="C198" s="8">
        <v>0</v>
      </c>
      <c r="D198" s="8">
        <v>0</v>
      </c>
      <c r="E198" s="8">
        <v>0</v>
      </c>
      <c r="F198" s="8">
        <v>0</v>
      </c>
      <c r="G198" s="8">
        <f aca="true" t="shared" si="31" ref="G198:G209">F198-E198</f>
        <v>0</v>
      </c>
      <c r="H198" s="10">
        <v>0</v>
      </c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 ht="12.75">
      <c r="A199" s="7">
        <v>200</v>
      </c>
      <c r="B199" s="5" t="s">
        <v>10</v>
      </c>
      <c r="C199" s="8">
        <v>0</v>
      </c>
      <c r="D199" s="8">
        <v>0</v>
      </c>
      <c r="E199" s="8">
        <v>0</v>
      </c>
      <c r="F199" s="8">
        <v>0</v>
      </c>
      <c r="G199" s="8">
        <f t="shared" si="31"/>
        <v>0</v>
      </c>
      <c r="H199" s="10">
        <v>0</v>
      </c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 ht="12.75">
      <c r="A200" s="7">
        <v>300</v>
      </c>
      <c r="B200" s="5" t="s">
        <v>23</v>
      </c>
      <c r="C200" s="8">
        <v>0</v>
      </c>
      <c r="D200" s="8">
        <v>0</v>
      </c>
      <c r="E200" s="8">
        <v>0</v>
      </c>
      <c r="F200" s="8">
        <v>0</v>
      </c>
      <c r="G200" s="8">
        <f t="shared" si="31"/>
        <v>0</v>
      </c>
      <c r="H200" s="10">
        <v>0</v>
      </c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 ht="12.75">
      <c r="A201" s="7">
        <v>400</v>
      </c>
      <c r="B201" s="5" t="s">
        <v>24</v>
      </c>
      <c r="C201" s="8">
        <v>0</v>
      </c>
      <c r="D201" s="8">
        <v>0</v>
      </c>
      <c r="E201" s="8">
        <v>0</v>
      </c>
      <c r="F201" s="8">
        <v>0</v>
      </c>
      <c r="G201" s="8">
        <f t="shared" si="31"/>
        <v>0</v>
      </c>
      <c r="H201" s="10">
        <v>0</v>
      </c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 ht="12.75">
      <c r="A202" s="7">
        <v>561</v>
      </c>
      <c r="B202" s="5" t="s">
        <v>25</v>
      </c>
      <c r="C202" s="8">
        <v>0</v>
      </c>
      <c r="D202" s="8">
        <v>0</v>
      </c>
      <c r="E202" s="8">
        <v>0</v>
      </c>
      <c r="F202" s="8">
        <v>0</v>
      </c>
      <c r="G202" s="8">
        <f t="shared" si="31"/>
        <v>0</v>
      </c>
      <c r="H202" s="10">
        <v>0</v>
      </c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 ht="12.75">
      <c r="A203" s="7">
        <v>593</v>
      </c>
      <c r="B203" s="5" t="s">
        <v>26</v>
      </c>
      <c r="C203" s="8">
        <v>0</v>
      </c>
      <c r="D203" s="8">
        <v>0</v>
      </c>
      <c r="E203" s="8">
        <v>0</v>
      </c>
      <c r="F203" s="8">
        <v>0</v>
      </c>
      <c r="G203" s="8">
        <f t="shared" si="31"/>
        <v>0</v>
      </c>
      <c r="H203" s="10">
        <v>0</v>
      </c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ht="12.75">
      <c r="A204" s="7">
        <v>566</v>
      </c>
      <c r="B204" s="5" t="s">
        <v>27</v>
      </c>
      <c r="C204" s="8">
        <v>0</v>
      </c>
      <c r="D204" s="8">
        <v>0</v>
      </c>
      <c r="E204" s="8">
        <v>0</v>
      </c>
      <c r="F204" s="8">
        <v>0</v>
      </c>
      <c r="G204" s="8">
        <f t="shared" si="31"/>
        <v>0</v>
      </c>
      <c r="H204" s="10">
        <v>0</v>
      </c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 ht="12.75">
      <c r="A205" s="7">
        <v>500</v>
      </c>
      <c r="B205" s="5" t="s">
        <v>28</v>
      </c>
      <c r="C205" s="8">
        <v>0</v>
      </c>
      <c r="D205" s="8">
        <v>0</v>
      </c>
      <c r="E205" s="8">
        <v>0</v>
      </c>
      <c r="F205" s="8">
        <v>0</v>
      </c>
      <c r="G205" s="8">
        <f t="shared" si="31"/>
        <v>0</v>
      </c>
      <c r="H205" s="10">
        <v>0</v>
      </c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 ht="12.75">
      <c r="A206" s="7">
        <v>600</v>
      </c>
      <c r="B206" s="5" t="s">
        <v>29</v>
      </c>
      <c r="C206" s="8">
        <v>0</v>
      </c>
      <c r="D206" s="8">
        <v>0</v>
      </c>
      <c r="E206" s="8">
        <v>0</v>
      </c>
      <c r="F206" s="8">
        <v>0</v>
      </c>
      <c r="G206" s="8">
        <f t="shared" si="31"/>
        <v>0</v>
      </c>
      <c r="H206" s="10">
        <v>0</v>
      </c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 ht="12.75">
      <c r="A207" s="7">
        <v>700</v>
      </c>
      <c r="B207" s="5" t="s">
        <v>30</v>
      </c>
      <c r="C207" s="8">
        <v>0</v>
      </c>
      <c r="D207" s="8">
        <v>0</v>
      </c>
      <c r="E207" s="8">
        <v>0</v>
      </c>
      <c r="F207" s="8">
        <v>0</v>
      </c>
      <c r="G207" s="8">
        <f t="shared" si="31"/>
        <v>0</v>
      </c>
      <c r="H207" s="10">
        <v>0</v>
      </c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 ht="12.75">
      <c r="A208" s="7">
        <v>800</v>
      </c>
      <c r="B208" s="5" t="s">
        <v>31</v>
      </c>
      <c r="C208" s="8">
        <v>0</v>
      </c>
      <c r="D208" s="8">
        <v>0</v>
      </c>
      <c r="E208" s="8">
        <v>0</v>
      </c>
      <c r="F208" s="8">
        <v>0</v>
      </c>
      <c r="G208" s="8">
        <f t="shared" si="31"/>
        <v>0</v>
      </c>
      <c r="H208" s="10">
        <v>0</v>
      </c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 ht="12.75">
      <c r="A209" s="7">
        <v>900</v>
      </c>
      <c r="B209" s="5" t="s">
        <v>32</v>
      </c>
      <c r="C209" s="8">
        <v>0</v>
      </c>
      <c r="D209" s="8">
        <v>0</v>
      </c>
      <c r="E209" s="8">
        <v>0</v>
      </c>
      <c r="F209" s="8">
        <v>0</v>
      </c>
      <c r="G209" s="8">
        <f t="shared" si="31"/>
        <v>0</v>
      </c>
      <c r="H209" s="10">
        <v>0</v>
      </c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 ht="12.75">
      <c r="A210" s="5"/>
      <c r="B210" s="5"/>
      <c r="C210" s="8">
        <f>SUM(C198:C209)</f>
        <v>0</v>
      </c>
      <c r="D210" s="8">
        <v>0</v>
      </c>
      <c r="E210" s="8">
        <f aca="true" t="shared" si="32" ref="E210:G210">SUM(E198:E209)</f>
        <v>0</v>
      </c>
      <c r="F210" s="8">
        <f t="shared" si="32"/>
        <v>0</v>
      </c>
      <c r="G210" s="8">
        <f t="shared" si="32"/>
        <v>0</v>
      </c>
      <c r="H210" s="10">
        <v>0</v>
      </c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1:28" ht="12.75">
      <c r="A213" s="2"/>
      <c r="B213" s="2" t="s">
        <v>85</v>
      </c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1:28" ht="12.75">
      <c r="A214" s="5"/>
      <c r="B214" s="11" t="s">
        <v>16</v>
      </c>
      <c r="C214" s="12" t="s">
        <v>17</v>
      </c>
      <c r="D214" s="12" t="s">
        <v>18</v>
      </c>
      <c r="E214" s="12" t="s">
        <v>19</v>
      </c>
      <c r="F214" s="12" t="s">
        <v>20</v>
      </c>
      <c r="G214" s="11" t="s">
        <v>7</v>
      </c>
      <c r="H214" s="12" t="s">
        <v>21</v>
      </c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1:28" ht="12.75">
      <c r="A215" s="5"/>
      <c r="B215" s="5"/>
      <c r="C215" s="5"/>
      <c r="D215" s="5"/>
      <c r="E215" s="5"/>
      <c r="F215" s="5"/>
      <c r="G215" s="5"/>
      <c r="H215" s="5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1:28" ht="12.75">
      <c r="A216" s="7">
        <v>100</v>
      </c>
      <c r="B216" s="5" t="s">
        <v>22</v>
      </c>
      <c r="C216" s="8">
        <v>0</v>
      </c>
      <c r="D216" s="8">
        <v>0</v>
      </c>
      <c r="E216" s="8">
        <v>0</v>
      </c>
      <c r="F216" s="8">
        <v>0</v>
      </c>
      <c r="G216" s="8">
        <f aca="true" t="shared" si="33" ref="G216:G227">F216-E216</f>
        <v>0</v>
      </c>
      <c r="H216" s="10">
        <v>0</v>
      </c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1:28" ht="12.75">
      <c r="A217" s="7">
        <v>200</v>
      </c>
      <c r="B217" s="5" t="s">
        <v>10</v>
      </c>
      <c r="C217" s="8">
        <v>0</v>
      </c>
      <c r="D217" s="8">
        <v>0</v>
      </c>
      <c r="E217" s="8">
        <v>0</v>
      </c>
      <c r="F217" s="8">
        <v>0</v>
      </c>
      <c r="G217" s="8">
        <f t="shared" si="33"/>
        <v>0</v>
      </c>
      <c r="H217" s="10">
        <v>0</v>
      </c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1:28" ht="12.75">
      <c r="A218" s="7">
        <v>300</v>
      </c>
      <c r="B218" s="5" t="s">
        <v>23</v>
      </c>
      <c r="C218" s="8">
        <v>0</v>
      </c>
      <c r="D218" s="8">
        <v>0</v>
      </c>
      <c r="E218" s="8">
        <v>0</v>
      </c>
      <c r="F218" s="8">
        <v>0</v>
      </c>
      <c r="G218" s="8">
        <f t="shared" si="33"/>
        <v>0</v>
      </c>
      <c r="H218" s="10">
        <v>0</v>
      </c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1:28" ht="12.75">
      <c r="A219" s="7">
        <v>300</v>
      </c>
      <c r="B219" s="5" t="s">
        <v>86</v>
      </c>
      <c r="C219" s="8">
        <v>0</v>
      </c>
      <c r="D219" s="8">
        <v>0</v>
      </c>
      <c r="E219" s="8">
        <v>0</v>
      </c>
      <c r="F219" s="8">
        <v>0</v>
      </c>
      <c r="G219" s="8">
        <f t="shared" si="33"/>
        <v>0</v>
      </c>
      <c r="H219" s="10">
        <v>0</v>
      </c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1:28" ht="12.75">
      <c r="A220" s="7">
        <v>561</v>
      </c>
      <c r="B220" s="5" t="s">
        <v>25</v>
      </c>
      <c r="C220" s="8">
        <v>0</v>
      </c>
      <c r="D220" s="8">
        <v>0</v>
      </c>
      <c r="E220" s="8">
        <v>0</v>
      </c>
      <c r="F220" s="8">
        <v>0</v>
      </c>
      <c r="G220" s="8">
        <f t="shared" si="33"/>
        <v>0</v>
      </c>
      <c r="H220" s="10">
        <v>0</v>
      </c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1:28" ht="12.75">
      <c r="A221" s="7">
        <v>593</v>
      </c>
      <c r="B221" s="5" t="s">
        <v>26</v>
      </c>
      <c r="C221" s="8">
        <v>0</v>
      </c>
      <c r="D221" s="8">
        <v>0</v>
      </c>
      <c r="E221" s="8">
        <v>0</v>
      </c>
      <c r="F221" s="8">
        <v>0</v>
      </c>
      <c r="G221" s="8">
        <f t="shared" si="33"/>
        <v>0</v>
      </c>
      <c r="H221" s="10">
        <v>0</v>
      </c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1:28" ht="12.75">
      <c r="A222" s="7">
        <v>566</v>
      </c>
      <c r="B222" s="5" t="s">
        <v>27</v>
      </c>
      <c r="C222" s="8">
        <v>0</v>
      </c>
      <c r="D222" s="8">
        <v>0</v>
      </c>
      <c r="E222" s="8">
        <v>0</v>
      </c>
      <c r="F222" s="8">
        <v>0</v>
      </c>
      <c r="G222" s="8">
        <f t="shared" si="33"/>
        <v>0</v>
      </c>
      <c r="H222" s="10">
        <v>0</v>
      </c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pans="1:28" ht="12.75">
      <c r="A223" s="7">
        <v>500</v>
      </c>
      <c r="B223" s="5" t="s">
        <v>28</v>
      </c>
      <c r="C223" s="8">
        <v>0</v>
      </c>
      <c r="D223" s="8">
        <v>0</v>
      </c>
      <c r="E223" s="8">
        <v>0</v>
      </c>
      <c r="F223" s="8">
        <v>0</v>
      </c>
      <c r="G223" s="8">
        <f t="shared" si="33"/>
        <v>0</v>
      </c>
      <c r="H223" s="10">
        <v>0</v>
      </c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1:28" ht="12.75">
      <c r="A224" s="7">
        <v>600</v>
      </c>
      <c r="B224" s="5" t="s">
        <v>29</v>
      </c>
      <c r="C224" s="8">
        <v>0</v>
      </c>
      <c r="D224" s="8">
        <v>0</v>
      </c>
      <c r="E224" s="8">
        <v>0</v>
      </c>
      <c r="F224" s="8">
        <v>0</v>
      </c>
      <c r="G224" s="8">
        <f t="shared" si="33"/>
        <v>0</v>
      </c>
      <c r="H224" s="10">
        <v>0</v>
      </c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1:28" ht="12.75">
      <c r="A225" s="7">
        <v>700</v>
      </c>
      <c r="B225" s="5" t="s">
        <v>30</v>
      </c>
      <c r="C225" s="8">
        <v>0</v>
      </c>
      <c r="D225" s="8">
        <v>0</v>
      </c>
      <c r="E225" s="8">
        <v>0</v>
      </c>
      <c r="F225" s="8">
        <v>0</v>
      </c>
      <c r="G225" s="8">
        <f t="shared" si="33"/>
        <v>0</v>
      </c>
      <c r="H225" s="10">
        <v>0</v>
      </c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1:28" ht="12.75">
      <c r="A226" s="7">
        <v>800</v>
      </c>
      <c r="B226" s="5" t="s">
        <v>31</v>
      </c>
      <c r="C226" s="8">
        <v>0</v>
      </c>
      <c r="D226" s="8">
        <v>0</v>
      </c>
      <c r="E226" s="8">
        <v>0</v>
      </c>
      <c r="F226" s="8">
        <v>0</v>
      </c>
      <c r="G226" s="8">
        <f t="shared" si="33"/>
        <v>0</v>
      </c>
      <c r="H226" s="10">
        <v>0</v>
      </c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1:28" ht="12.75">
      <c r="A227" s="7">
        <v>900</v>
      </c>
      <c r="B227" s="5" t="s">
        <v>32</v>
      </c>
      <c r="C227" s="8">
        <v>0</v>
      </c>
      <c r="D227" s="8">
        <v>0</v>
      </c>
      <c r="E227" s="8">
        <v>0</v>
      </c>
      <c r="F227" s="8">
        <v>0</v>
      </c>
      <c r="G227" s="8">
        <f t="shared" si="33"/>
        <v>0</v>
      </c>
      <c r="H227" s="10">
        <v>0</v>
      </c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1:28" ht="12.75">
      <c r="A228" s="5"/>
      <c r="B228" s="5"/>
      <c r="C228" s="8">
        <f>SUM(C216:C227)</f>
        <v>0</v>
      </c>
      <c r="D228" s="8">
        <v>0</v>
      </c>
      <c r="E228" s="8">
        <f aca="true" t="shared" si="34" ref="E228:G228">SUM(E216:E227)</f>
        <v>0</v>
      </c>
      <c r="F228" s="8">
        <f t="shared" si="34"/>
        <v>0</v>
      </c>
      <c r="G228" s="8">
        <f t="shared" si="34"/>
        <v>0</v>
      </c>
      <c r="H228" s="10">
        <v>0</v>
      </c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1:28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1:28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1:28" ht="12.75">
      <c r="A231" s="2"/>
      <c r="B231" s="2" t="s">
        <v>87</v>
      </c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1:28" ht="12.75">
      <c r="A232" s="5"/>
      <c r="B232" s="11" t="s">
        <v>16</v>
      </c>
      <c r="C232" s="12" t="s">
        <v>17</v>
      </c>
      <c r="D232" s="12" t="s">
        <v>18</v>
      </c>
      <c r="E232" s="12" t="s">
        <v>19</v>
      </c>
      <c r="F232" s="12" t="s">
        <v>20</v>
      </c>
      <c r="G232" s="11" t="s">
        <v>7</v>
      </c>
      <c r="H232" s="12" t="s">
        <v>21</v>
      </c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pans="1:28" ht="12.75">
      <c r="A233" s="5"/>
      <c r="B233" s="5"/>
      <c r="C233" s="5"/>
      <c r="D233" s="5"/>
      <c r="E233" s="5"/>
      <c r="F233" s="5"/>
      <c r="G233" s="5"/>
      <c r="H233" s="5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spans="1:28" ht="12.75">
      <c r="A234" s="7">
        <v>100</v>
      </c>
      <c r="B234" s="5" t="s">
        <v>22</v>
      </c>
      <c r="C234" s="8">
        <v>0</v>
      </c>
      <c r="D234" s="8">
        <v>0</v>
      </c>
      <c r="E234" s="8">
        <v>0</v>
      </c>
      <c r="F234" s="8">
        <v>0</v>
      </c>
      <c r="G234" s="8">
        <f aca="true" t="shared" si="35" ref="G234:G246">F234-E234</f>
        <v>0</v>
      </c>
      <c r="H234" s="10">
        <v>0</v>
      </c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 spans="1:28" ht="12.75">
      <c r="A235" s="7">
        <v>200</v>
      </c>
      <c r="B235" s="5" t="s">
        <v>10</v>
      </c>
      <c r="C235" s="8">
        <v>0</v>
      </c>
      <c r="D235" s="8">
        <v>0</v>
      </c>
      <c r="E235" s="8">
        <v>0</v>
      </c>
      <c r="F235" s="8">
        <v>0</v>
      </c>
      <c r="G235" s="8">
        <f t="shared" si="35"/>
        <v>0</v>
      </c>
      <c r="H235" s="10">
        <v>0</v>
      </c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</row>
    <row r="236" spans="1:28" ht="12.75">
      <c r="A236" s="7">
        <v>300</v>
      </c>
      <c r="B236" s="5" t="s">
        <v>23</v>
      </c>
      <c r="C236" s="8">
        <v>0</v>
      </c>
      <c r="D236" s="8">
        <v>0</v>
      </c>
      <c r="E236" s="8">
        <v>0</v>
      </c>
      <c r="F236" s="8">
        <v>0</v>
      </c>
      <c r="G236" s="8">
        <f t="shared" si="35"/>
        <v>0</v>
      </c>
      <c r="H236" s="10">
        <v>0</v>
      </c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</row>
    <row r="237" spans="1:28" ht="12.75">
      <c r="A237" s="7">
        <v>400</v>
      </c>
      <c r="B237" s="5" t="s">
        <v>88</v>
      </c>
      <c r="C237" s="8">
        <v>0</v>
      </c>
      <c r="D237" s="8">
        <v>0</v>
      </c>
      <c r="E237" s="8">
        <v>0</v>
      </c>
      <c r="F237" s="8">
        <v>0</v>
      </c>
      <c r="G237" s="8">
        <f t="shared" si="35"/>
        <v>0</v>
      </c>
      <c r="H237" s="10">
        <v>0</v>
      </c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</row>
    <row r="238" spans="1:28" ht="12.75">
      <c r="A238" s="7">
        <v>561</v>
      </c>
      <c r="B238" s="5" t="s">
        <v>25</v>
      </c>
      <c r="C238" s="8">
        <v>0</v>
      </c>
      <c r="D238" s="8">
        <v>0</v>
      </c>
      <c r="E238" s="8">
        <v>0</v>
      </c>
      <c r="F238" s="8">
        <v>0</v>
      </c>
      <c r="G238" s="8">
        <f t="shared" si="35"/>
        <v>0</v>
      </c>
      <c r="H238" s="10">
        <v>0</v>
      </c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</row>
    <row r="239" spans="1:28" ht="12.75">
      <c r="A239" s="7">
        <v>593</v>
      </c>
      <c r="B239" s="5" t="s">
        <v>26</v>
      </c>
      <c r="C239" s="8">
        <v>0</v>
      </c>
      <c r="D239" s="8">
        <v>0</v>
      </c>
      <c r="E239" s="8">
        <v>0</v>
      </c>
      <c r="F239" s="8">
        <v>0</v>
      </c>
      <c r="G239" s="8">
        <f t="shared" si="35"/>
        <v>0</v>
      </c>
      <c r="H239" s="10">
        <v>0</v>
      </c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</row>
    <row r="240" spans="1:28" ht="12.75">
      <c r="A240" s="7">
        <v>566</v>
      </c>
      <c r="B240" s="5" t="s">
        <v>27</v>
      </c>
      <c r="C240" s="8">
        <v>0</v>
      </c>
      <c r="D240" s="8">
        <v>0</v>
      </c>
      <c r="E240" s="8">
        <v>0</v>
      </c>
      <c r="F240" s="8">
        <v>0</v>
      </c>
      <c r="G240" s="8">
        <f t="shared" si="35"/>
        <v>0</v>
      </c>
      <c r="H240" s="10">
        <v>0</v>
      </c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</row>
    <row r="241" spans="1:28" ht="12.75">
      <c r="A241" s="7">
        <v>500</v>
      </c>
      <c r="B241" s="5" t="s">
        <v>28</v>
      </c>
      <c r="C241" s="8">
        <v>0</v>
      </c>
      <c r="D241" s="8">
        <v>0</v>
      </c>
      <c r="E241" s="8">
        <v>0</v>
      </c>
      <c r="F241" s="8">
        <v>0</v>
      </c>
      <c r="G241" s="8">
        <f t="shared" si="35"/>
        <v>0</v>
      </c>
      <c r="H241" s="10">
        <v>0</v>
      </c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</row>
    <row r="242" spans="1:28" ht="12.75">
      <c r="A242" s="7">
        <v>600</v>
      </c>
      <c r="B242" s="5" t="s">
        <v>29</v>
      </c>
      <c r="C242" s="8">
        <v>0</v>
      </c>
      <c r="D242" s="8">
        <v>0</v>
      </c>
      <c r="E242" s="8">
        <v>0</v>
      </c>
      <c r="F242" s="8">
        <v>0</v>
      </c>
      <c r="G242" s="8">
        <f t="shared" si="35"/>
        <v>0</v>
      </c>
      <c r="H242" s="10">
        <v>0</v>
      </c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</row>
    <row r="243" spans="1:28" ht="12.75">
      <c r="A243" s="7">
        <v>700</v>
      </c>
      <c r="B243" s="5" t="s">
        <v>30</v>
      </c>
      <c r="C243" s="8">
        <v>0</v>
      </c>
      <c r="D243" s="8">
        <v>0</v>
      </c>
      <c r="E243" s="8">
        <v>0</v>
      </c>
      <c r="F243" s="8">
        <v>0</v>
      </c>
      <c r="G243" s="8">
        <f t="shared" si="35"/>
        <v>0</v>
      </c>
      <c r="H243" s="10">
        <v>0</v>
      </c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</row>
    <row r="244" spans="1:28" ht="12.75">
      <c r="A244" s="7">
        <v>800</v>
      </c>
      <c r="B244" s="5" t="s">
        <v>31</v>
      </c>
      <c r="C244" s="8">
        <v>0</v>
      </c>
      <c r="D244" s="8">
        <v>0</v>
      </c>
      <c r="E244" s="8">
        <v>0</v>
      </c>
      <c r="F244" s="8">
        <v>0</v>
      </c>
      <c r="G244" s="8">
        <f t="shared" si="35"/>
        <v>0</v>
      </c>
      <c r="H244" s="10">
        <v>0</v>
      </c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</row>
    <row r="245" spans="1:28" ht="12.75">
      <c r="A245" s="7">
        <v>897</v>
      </c>
      <c r="B245" s="5" t="s">
        <v>89</v>
      </c>
      <c r="C245" s="8">
        <v>0</v>
      </c>
      <c r="D245" s="8">
        <v>0</v>
      </c>
      <c r="E245" s="8">
        <v>0</v>
      </c>
      <c r="F245" s="8">
        <v>0</v>
      </c>
      <c r="G245" s="8">
        <f t="shared" si="35"/>
        <v>0</v>
      </c>
      <c r="H245" s="10">
        <v>0</v>
      </c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</row>
    <row r="246" spans="1:28" ht="12.75">
      <c r="A246" s="7">
        <v>900</v>
      </c>
      <c r="B246" s="5" t="s">
        <v>32</v>
      </c>
      <c r="C246" s="8">
        <v>0</v>
      </c>
      <c r="D246" s="8">
        <v>0</v>
      </c>
      <c r="E246" s="8">
        <v>0</v>
      </c>
      <c r="F246" s="8">
        <v>0</v>
      </c>
      <c r="G246" s="8">
        <f t="shared" si="35"/>
        <v>0</v>
      </c>
      <c r="H246" s="10">
        <v>0</v>
      </c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</row>
    <row r="247" spans="1:28" ht="12.75">
      <c r="A247" s="5"/>
      <c r="B247" s="5"/>
      <c r="C247" s="8">
        <f>SUM(C234:C246)</f>
        <v>0</v>
      </c>
      <c r="D247" s="8">
        <v>0</v>
      </c>
      <c r="E247" s="8">
        <f aca="true" t="shared" si="36" ref="E247:G247">SUM(E234:E246)</f>
        <v>0</v>
      </c>
      <c r="F247" s="8">
        <f t="shared" si="36"/>
        <v>0</v>
      </c>
      <c r="G247" s="8">
        <f t="shared" si="36"/>
        <v>0</v>
      </c>
      <c r="H247" s="10">
        <v>0</v>
      </c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</row>
    <row r="248" spans="1:28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</row>
    <row r="249" spans="1:28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</row>
    <row r="250" spans="1:28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</row>
    <row r="251" spans="1:28" ht="12.75">
      <c r="A251" s="2"/>
      <c r="B251" s="2" t="s">
        <v>90</v>
      </c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</row>
    <row r="252" spans="1:28" ht="12.75">
      <c r="A252" s="5"/>
      <c r="B252" s="11" t="s">
        <v>16</v>
      </c>
      <c r="C252" s="12" t="s">
        <v>17</v>
      </c>
      <c r="D252" s="12" t="s">
        <v>18</v>
      </c>
      <c r="E252" s="12" t="s">
        <v>19</v>
      </c>
      <c r="F252" s="12" t="s">
        <v>20</v>
      </c>
      <c r="G252" s="11" t="s">
        <v>7</v>
      </c>
      <c r="H252" s="12" t="s">
        <v>21</v>
      </c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</row>
    <row r="253" spans="1:28" ht="12.75">
      <c r="A253" s="5"/>
      <c r="B253" s="5"/>
      <c r="C253" s="5"/>
      <c r="D253" s="5"/>
      <c r="E253" s="5"/>
      <c r="F253" s="5"/>
      <c r="G253" s="5"/>
      <c r="H253" s="5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</row>
    <row r="254" spans="1:28" ht="12.75">
      <c r="A254" s="7">
        <v>100</v>
      </c>
      <c r="B254" s="5" t="s">
        <v>22</v>
      </c>
      <c r="C254" s="8">
        <v>0</v>
      </c>
      <c r="D254" s="8">
        <v>0</v>
      </c>
      <c r="E254" s="8">
        <v>0</v>
      </c>
      <c r="F254" s="8">
        <v>0</v>
      </c>
      <c r="G254" s="8">
        <f aca="true" t="shared" si="37" ref="G254:G265">F254-E254</f>
        <v>0</v>
      </c>
      <c r="H254" s="10">
        <v>0</v>
      </c>
      <c r="I254" s="2" t="s">
        <v>3</v>
      </c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</row>
    <row r="255" spans="1:28" ht="12.75">
      <c r="A255" s="7">
        <v>200</v>
      </c>
      <c r="B255" s="5" t="s">
        <v>10</v>
      </c>
      <c r="C255" s="8">
        <v>0</v>
      </c>
      <c r="D255" s="8">
        <v>0</v>
      </c>
      <c r="E255" s="8">
        <v>0</v>
      </c>
      <c r="F255" s="8">
        <v>0</v>
      </c>
      <c r="G255" s="8">
        <f t="shared" si="37"/>
        <v>0</v>
      </c>
      <c r="H255" s="10">
        <v>0</v>
      </c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</row>
    <row r="256" spans="1:28" ht="12.75">
      <c r="A256" s="7">
        <v>300</v>
      </c>
      <c r="B256" s="5" t="s">
        <v>23</v>
      </c>
      <c r="C256" s="8">
        <v>0</v>
      </c>
      <c r="D256" s="8">
        <v>0</v>
      </c>
      <c r="E256" s="8">
        <v>0</v>
      </c>
      <c r="F256" s="8">
        <v>0</v>
      </c>
      <c r="G256" s="8">
        <f t="shared" si="37"/>
        <v>0</v>
      </c>
      <c r="H256" s="10">
        <v>0</v>
      </c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</row>
    <row r="257" spans="1:28" ht="12.75">
      <c r="A257" s="7">
        <v>300</v>
      </c>
      <c r="B257" s="5" t="s">
        <v>92</v>
      </c>
      <c r="C257" s="8">
        <v>0</v>
      </c>
      <c r="D257" s="8">
        <v>0</v>
      </c>
      <c r="E257" s="8">
        <v>0</v>
      </c>
      <c r="F257" s="8">
        <v>0</v>
      </c>
      <c r="G257" s="8">
        <f t="shared" si="37"/>
        <v>0</v>
      </c>
      <c r="H257" s="10">
        <v>0</v>
      </c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</row>
    <row r="258" spans="1:28" ht="12.75">
      <c r="A258" s="7">
        <v>561</v>
      </c>
      <c r="B258" s="5" t="s">
        <v>25</v>
      </c>
      <c r="C258" s="8">
        <v>0</v>
      </c>
      <c r="D258" s="8">
        <v>0</v>
      </c>
      <c r="E258" s="8">
        <v>0</v>
      </c>
      <c r="F258" s="8">
        <v>0</v>
      </c>
      <c r="G258" s="8">
        <f t="shared" si="37"/>
        <v>0</v>
      </c>
      <c r="H258" s="10">
        <v>0</v>
      </c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</row>
    <row r="259" spans="1:28" ht="12.75">
      <c r="A259" s="7">
        <v>593</v>
      </c>
      <c r="B259" s="5" t="s">
        <v>26</v>
      </c>
      <c r="C259" s="8">
        <v>0</v>
      </c>
      <c r="D259" s="8">
        <v>0</v>
      </c>
      <c r="E259" s="8">
        <v>0</v>
      </c>
      <c r="F259" s="8">
        <v>0</v>
      </c>
      <c r="G259" s="8">
        <f t="shared" si="37"/>
        <v>0</v>
      </c>
      <c r="H259" s="10">
        <v>0</v>
      </c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</row>
    <row r="260" spans="1:28" ht="12.75">
      <c r="A260" s="7">
        <v>566</v>
      </c>
      <c r="B260" s="5" t="s">
        <v>27</v>
      </c>
      <c r="C260" s="8">
        <v>0</v>
      </c>
      <c r="D260" s="8">
        <v>0</v>
      </c>
      <c r="E260" s="8">
        <v>0</v>
      </c>
      <c r="F260" s="8">
        <v>0</v>
      </c>
      <c r="G260" s="8">
        <f t="shared" si="37"/>
        <v>0</v>
      </c>
      <c r="H260" s="10">
        <v>0</v>
      </c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</row>
    <row r="261" spans="1:28" ht="12.75">
      <c r="A261" s="7">
        <v>500</v>
      </c>
      <c r="B261" s="5" t="s">
        <v>28</v>
      </c>
      <c r="C261" s="8">
        <v>0</v>
      </c>
      <c r="D261" s="8">
        <v>0</v>
      </c>
      <c r="E261" s="8">
        <v>0</v>
      </c>
      <c r="F261" s="8">
        <v>0</v>
      </c>
      <c r="G261" s="8">
        <f t="shared" si="37"/>
        <v>0</v>
      </c>
      <c r="H261" s="10">
        <v>0</v>
      </c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</row>
    <row r="262" spans="1:28" ht="12.75">
      <c r="A262" s="7">
        <v>600</v>
      </c>
      <c r="B262" s="5" t="s">
        <v>29</v>
      </c>
      <c r="C262" s="8">
        <v>0</v>
      </c>
      <c r="D262" s="8">
        <v>0</v>
      </c>
      <c r="E262" s="8">
        <v>0</v>
      </c>
      <c r="F262" s="8">
        <v>0</v>
      </c>
      <c r="G262" s="8">
        <f t="shared" si="37"/>
        <v>0</v>
      </c>
      <c r="H262" s="10">
        <v>0</v>
      </c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</row>
    <row r="263" spans="1:28" ht="12.75">
      <c r="A263" s="7">
        <v>700</v>
      </c>
      <c r="B263" s="5" t="s">
        <v>30</v>
      </c>
      <c r="C263" s="8">
        <v>0</v>
      </c>
      <c r="D263" s="8">
        <v>0</v>
      </c>
      <c r="E263" s="8">
        <v>0</v>
      </c>
      <c r="F263" s="8">
        <v>0</v>
      </c>
      <c r="G263" s="8">
        <f t="shared" si="37"/>
        <v>0</v>
      </c>
      <c r="H263" s="10">
        <v>0</v>
      </c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</row>
    <row r="264" spans="1:28" ht="12.75">
      <c r="A264" s="7">
        <v>800</v>
      </c>
      <c r="B264" s="5" t="s">
        <v>31</v>
      </c>
      <c r="C264" s="8">
        <v>0</v>
      </c>
      <c r="D264" s="8">
        <v>0</v>
      </c>
      <c r="E264" s="8">
        <v>0</v>
      </c>
      <c r="F264" s="8">
        <v>0</v>
      </c>
      <c r="G264" s="8">
        <f t="shared" si="37"/>
        <v>0</v>
      </c>
      <c r="H264" s="10">
        <v>0</v>
      </c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</row>
    <row r="265" spans="1:28" ht="12.75">
      <c r="A265" s="7">
        <v>900</v>
      </c>
      <c r="B265" s="5" t="s">
        <v>32</v>
      </c>
      <c r="C265" s="8">
        <v>0</v>
      </c>
      <c r="D265" s="8">
        <v>0</v>
      </c>
      <c r="E265" s="8">
        <v>0</v>
      </c>
      <c r="F265" s="8">
        <v>0</v>
      </c>
      <c r="G265" s="8">
        <f t="shared" si="37"/>
        <v>0</v>
      </c>
      <c r="H265" s="10">
        <v>0</v>
      </c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</row>
    <row r="266" spans="1:28" ht="12.75">
      <c r="A266" s="5"/>
      <c r="B266" s="5"/>
      <c r="C266" s="8">
        <f>SUM(C254:C265)</f>
        <v>0</v>
      </c>
      <c r="D266" s="8">
        <v>0</v>
      </c>
      <c r="E266" s="8">
        <f aca="true" t="shared" si="38" ref="E266:G266">SUM(E254:E265)</f>
        <v>0</v>
      </c>
      <c r="F266" s="8">
        <f t="shared" si="38"/>
        <v>0</v>
      </c>
      <c r="G266" s="8">
        <f t="shared" si="38"/>
        <v>0</v>
      </c>
      <c r="H266" s="10">
        <v>0</v>
      </c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</row>
    <row r="267" spans="1:28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</row>
    <row r="268" spans="1:28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</row>
    <row r="269" spans="1:28" ht="12.75">
      <c r="A269" s="2"/>
      <c r="B269" s="2" t="s">
        <v>61</v>
      </c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</row>
    <row r="270" spans="1:28" ht="12.75">
      <c r="A270" s="5"/>
      <c r="B270" s="11" t="s">
        <v>16</v>
      </c>
      <c r="C270" s="12" t="s">
        <v>17</v>
      </c>
      <c r="D270" s="12" t="s">
        <v>18</v>
      </c>
      <c r="E270" s="12" t="s">
        <v>19</v>
      </c>
      <c r="F270" s="12" t="s">
        <v>20</v>
      </c>
      <c r="G270" s="11" t="s">
        <v>7</v>
      </c>
      <c r="H270" s="12" t="s">
        <v>21</v>
      </c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</row>
    <row r="271" spans="1:28" ht="12.75">
      <c r="A271" s="5"/>
      <c r="B271" s="5"/>
      <c r="C271" s="5"/>
      <c r="D271" s="5"/>
      <c r="E271" s="5"/>
      <c r="F271" s="5"/>
      <c r="G271" s="5"/>
      <c r="H271" s="5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</row>
    <row r="272" spans="1:28" ht="12.75">
      <c r="A272" s="7">
        <v>100</v>
      </c>
      <c r="B272" s="5" t="s">
        <v>22</v>
      </c>
      <c r="C272" s="8">
        <v>101729</v>
      </c>
      <c r="D272" s="8">
        <v>29081.87</v>
      </c>
      <c r="E272" s="8">
        <v>30427</v>
      </c>
      <c r="F272" s="8">
        <v>30942</v>
      </c>
      <c r="G272" s="8">
        <f aca="true" t="shared" si="39" ref="G272:G283">F272-E272</f>
        <v>515</v>
      </c>
      <c r="H272" s="10">
        <f aca="true" t="shared" si="40" ref="H272:H273">G272/E272</f>
        <v>0.016925756729220757</v>
      </c>
      <c r="I272" s="2" t="s">
        <v>119</v>
      </c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</row>
    <row r="273" spans="1:28" ht="12.75">
      <c r="A273" s="7">
        <v>200</v>
      </c>
      <c r="B273" s="5" t="s">
        <v>10</v>
      </c>
      <c r="C273" s="8">
        <v>32452</v>
      </c>
      <c r="D273" s="8">
        <v>6013.93</v>
      </c>
      <c r="E273" s="8">
        <v>3825</v>
      </c>
      <c r="F273" s="8">
        <v>4643.4</v>
      </c>
      <c r="G273" s="8">
        <f t="shared" si="39"/>
        <v>818.3999999999996</v>
      </c>
      <c r="H273" s="10">
        <f t="shared" si="40"/>
        <v>0.2139607843137254</v>
      </c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</row>
    <row r="274" spans="1:28" ht="12.75">
      <c r="A274" s="7">
        <v>300</v>
      </c>
      <c r="B274" s="5" t="s">
        <v>23</v>
      </c>
      <c r="C274" s="8">
        <v>0</v>
      </c>
      <c r="D274" s="8">
        <v>0</v>
      </c>
      <c r="E274" s="8">
        <v>0</v>
      </c>
      <c r="F274" s="8">
        <v>0</v>
      </c>
      <c r="G274" s="8">
        <f t="shared" si="39"/>
        <v>0</v>
      </c>
      <c r="H274" s="10">
        <v>0</v>
      </c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</row>
    <row r="275" spans="1:28" ht="12.75">
      <c r="A275" s="7">
        <v>400</v>
      </c>
      <c r="B275" s="5" t="s">
        <v>24</v>
      </c>
      <c r="C275" s="8">
        <v>538</v>
      </c>
      <c r="D275" s="8">
        <v>360</v>
      </c>
      <c r="E275" s="8">
        <v>1350</v>
      </c>
      <c r="F275" s="8">
        <v>2460</v>
      </c>
      <c r="G275" s="8">
        <f t="shared" si="39"/>
        <v>1110</v>
      </c>
      <c r="H275" s="10">
        <v>0</v>
      </c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</row>
    <row r="276" spans="1:28" ht="12.75">
      <c r="A276" s="7">
        <v>561</v>
      </c>
      <c r="B276" s="5" t="s">
        <v>25</v>
      </c>
      <c r="C276" s="8">
        <v>0</v>
      </c>
      <c r="D276" s="8">
        <v>0</v>
      </c>
      <c r="E276" s="8">
        <v>0</v>
      </c>
      <c r="F276" s="8">
        <v>0</v>
      </c>
      <c r="G276" s="8">
        <f t="shared" si="39"/>
        <v>0</v>
      </c>
      <c r="H276" s="10">
        <v>0</v>
      </c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</row>
    <row r="277" spans="1:28" ht="12.75">
      <c r="A277" s="7">
        <v>593</v>
      </c>
      <c r="B277" s="5" t="s">
        <v>26</v>
      </c>
      <c r="C277" s="8">
        <v>0</v>
      </c>
      <c r="D277" s="8">
        <v>0</v>
      </c>
      <c r="E277" s="8">
        <v>0</v>
      </c>
      <c r="F277" s="8">
        <v>0</v>
      </c>
      <c r="G277" s="8">
        <f t="shared" si="39"/>
        <v>0</v>
      </c>
      <c r="H277" s="10">
        <v>0</v>
      </c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</row>
    <row r="278" spans="1:28" ht="12.75">
      <c r="A278" s="7">
        <v>566</v>
      </c>
      <c r="B278" s="5" t="s">
        <v>27</v>
      </c>
      <c r="C278" s="8">
        <v>0</v>
      </c>
      <c r="D278" s="8">
        <v>0</v>
      </c>
      <c r="E278" s="8">
        <v>0</v>
      </c>
      <c r="F278" s="8">
        <v>0</v>
      </c>
      <c r="G278" s="8">
        <f t="shared" si="39"/>
        <v>0</v>
      </c>
      <c r="H278" s="10">
        <v>0</v>
      </c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</row>
    <row r="279" spans="1:28" ht="12.75">
      <c r="A279" s="7">
        <v>500</v>
      </c>
      <c r="B279" s="5" t="s">
        <v>28</v>
      </c>
      <c r="C279" s="8">
        <v>871.95</v>
      </c>
      <c r="D279" s="8">
        <v>0</v>
      </c>
      <c r="E279" s="8">
        <v>0</v>
      </c>
      <c r="F279" s="8">
        <v>0</v>
      </c>
      <c r="G279" s="8">
        <f t="shared" si="39"/>
        <v>0</v>
      </c>
      <c r="H279" s="10">
        <v>0</v>
      </c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</row>
    <row r="280" spans="1:28" ht="12.75">
      <c r="A280" s="7">
        <v>600</v>
      </c>
      <c r="B280" s="5" t="s">
        <v>29</v>
      </c>
      <c r="C280" s="8">
        <v>58026.99</v>
      </c>
      <c r="D280" s="8">
        <v>56606.59</v>
      </c>
      <c r="E280" s="8">
        <v>53144</v>
      </c>
      <c r="F280" s="8">
        <v>55290</v>
      </c>
      <c r="G280" s="8">
        <f t="shared" si="39"/>
        <v>2146</v>
      </c>
      <c r="H280" s="10">
        <f>G280/E280</f>
        <v>0.04038085202468764</v>
      </c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</row>
    <row r="281" spans="1:28" ht="12.75">
      <c r="A281" s="7">
        <v>700</v>
      </c>
      <c r="B281" s="5" t="s">
        <v>30</v>
      </c>
      <c r="C281" s="8">
        <v>0</v>
      </c>
      <c r="D281" s="8">
        <v>0</v>
      </c>
      <c r="E281" s="8">
        <v>0</v>
      </c>
      <c r="F281" s="8">
        <v>0</v>
      </c>
      <c r="G281" s="8">
        <f t="shared" si="39"/>
        <v>0</v>
      </c>
      <c r="H281" s="10">
        <v>0</v>
      </c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</row>
    <row r="282" spans="1:28" ht="12.75">
      <c r="A282" s="7">
        <v>800</v>
      </c>
      <c r="B282" s="5" t="s">
        <v>31</v>
      </c>
      <c r="C282" s="8">
        <v>755</v>
      </c>
      <c r="D282" s="8">
        <v>0</v>
      </c>
      <c r="E282" s="8">
        <v>0</v>
      </c>
      <c r="F282" s="8">
        <v>0</v>
      </c>
      <c r="G282" s="8">
        <f t="shared" si="39"/>
        <v>0</v>
      </c>
      <c r="H282" s="10">
        <v>0</v>
      </c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</row>
    <row r="283" spans="1:28" ht="12.75">
      <c r="A283" s="7">
        <v>900</v>
      </c>
      <c r="B283" s="5" t="s">
        <v>32</v>
      </c>
      <c r="C283" s="8">
        <v>0</v>
      </c>
      <c r="D283" s="8">
        <v>0</v>
      </c>
      <c r="E283" s="8">
        <v>0</v>
      </c>
      <c r="F283" s="8">
        <v>0</v>
      </c>
      <c r="G283" s="8">
        <f t="shared" si="39"/>
        <v>0</v>
      </c>
      <c r="H283" s="10">
        <v>0</v>
      </c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</row>
    <row r="284" spans="1:28" ht="12.75">
      <c r="A284" s="5"/>
      <c r="B284" s="5"/>
      <c r="C284" s="8">
        <f aca="true" t="shared" si="41" ref="C284:G284">SUM(C272:C283)</f>
        <v>194372.94</v>
      </c>
      <c r="D284" s="8">
        <f t="shared" si="41"/>
        <v>92062.39</v>
      </c>
      <c r="E284" s="8">
        <f t="shared" si="41"/>
        <v>88746</v>
      </c>
      <c r="F284" s="8">
        <f t="shared" si="41"/>
        <v>93335.4</v>
      </c>
      <c r="G284" s="8">
        <f t="shared" si="41"/>
        <v>4589.4</v>
      </c>
      <c r="H284" s="10">
        <f>G284/E284</f>
        <v>0.051713880062199985</v>
      </c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</row>
    <row r="285" spans="1:28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</row>
    <row r="286" spans="1:28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</row>
    <row r="287" spans="1:28" ht="12.75">
      <c r="A287" s="2"/>
      <c r="B287" s="2" t="s">
        <v>94</v>
      </c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</row>
    <row r="288" spans="1:28" ht="12.75">
      <c r="A288" s="5"/>
      <c r="B288" s="11" t="s">
        <v>16</v>
      </c>
      <c r="C288" s="12" t="s">
        <v>17</v>
      </c>
      <c r="D288" s="12" t="s">
        <v>18</v>
      </c>
      <c r="E288" s="12" t="s">
        <v>19</v>
      </c>
      <c r="F288" s="12" t="s">
        <v>20</v>
      </c>
      <c r="G288" s="11" t="s">
        <v>7</v>
      </c>
      <c r="H288" s="12" t="s">
        <v>21</v>
      </c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</row>
    <row r="289" spans="1:28" ht="12.75">
      <c r="A289" s="5"/>
      <c r="B289" s="5"/>
      <c r="C289" s="5"/>
      <c r="D289" s="5"/>
      <c r="E289" s="5"/>
      <c r="F289" s="5"/>
      <c r="G289" s="5"/>
      <c r="H289" s="5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</row>
    <row r="290" spans="1:28" ht="12.75">
      <c r="A290" s="7">
        <v>100</v>
      </c>
      <c r="B290" s="5" t="s">
        <v>22</v>
      </c>
      <c r="C290" s="8">
        <v>0</v>
      </c>
      <c r="D290" s="8">
        <v>0</v>
      </c>
      <c r="E290" s="8">
        <v>0</v>
      </c>
      <c r="F290" s="8">
        <v>0</v>
      </c>
      <c r="G290" s="8">
        <f aca="true" t="shared" si="42" ref="G290:G301">F290-E290</f>
        <v>0</v>
      </c>
      <c r="H290" s="10">
        <v>0</v>
      </c>
      <c r="I290" s="2" t="s">
        <v>3</v>
      </c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</row>
    <row r="291" spans="1:28" ht="12.75">
      <c r="A291" s="7">
        <v>200</v>
      </c>
      <c r="B291" s="5" t="s">
        <v>10</v>
      </c>
      <c r="C291" s="8">
        <v>0</v>
      </c>
      <c r="D291" s="8">
        <v>0</v>
      </c>
      <c r="E291" s="8">
        <v>0</v>
      </c>
      <c r="F291" s="8">
        <v>0</v>
      </c>
      <c r="G291" s="8">
        <f t="shared" si="42"/>
        <v>0</v>
      </c>
      <c r="H291" s="10">
        <v>0</v>
      </c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</row>
    <row r="292" spans="1:28" ht="12.75">
      <c r="A292" s="7">
        <v>300</v>
      </c>
      <c r="B292" s="5" t="s">
        <v>23</v>
      </c>
      <c r="C292" s="8">
        <v>0</v>
      </c>
      <c r="D292" s="8">
        <v>0</v>
      </c>
      <c r="E292" s="8">
        <v>0</v>
      </c>
      <c r="F292" s="8">
        <v>0</v>
      </c>
      <c r="G292" s="8">
        <f t="shared" si="42"/>
        <v>0</v>
      </c>
      <c r="H292" s="10">
        <v>0</v>
      </c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</row>
    <row r="293" spans="1:28" ht="12.75">
      <c r="A293" s="7">
        <v>400</v>
      </c>
      <c r="B293" s="5" t="s">
        <v>24</v>
      </c>
      <c r="C293" s="8">
        <v>0</v>
      </c>
      <c r="D293" s="8">
        <v>0</v>
      </c>
      <c r="E293" s="8">
        <v>0</v>
      </c>
      <c r="F293" s="8">
        <v>0</v>
      </c>
      <c r="G293" s="8">
        <f t="shared" si="42"/>
        <v>0</v>
      </c>
      <c r="H293" s="10">
        <v>0</v>
      </c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</row>
    <row r="294" spans="1:28" ht="12.75">
      <c r="A294" s="7">
        <v>561</v>
      </c>
      <c r="B294" s="5" t="s">
        <v>25</v>
      </c>
      <c r="C294" s="8">
        <v>0</v>
      </c>
      <c r="D294" s="8">
        <v>0</v>
      </c>
      <c r="E294" s="8">
        <v>0</v>
      </c>
      <c r="F294" s="8">
        <v>0</v>
      </c>
      <c r="G294" s="8">
        <f t="shared" si="42"/>
        <v>0</v>
      </c>
      <c r="H294" s="10">
        <v>0</v>
      </c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</row>
    <row r="295" spans="1:28" ht="12.75">
      <c r="A295" s="7">
        <v>593</v>
      </c>
      <c r="B295" s="5" t="s">
        <v>26</v>
      </c>
      <c r="C295" s="8">
        <v>0</v>
      </c>
      <c r="D295" s="8">
        <v>0</v>
      </c>
      <c r="E295" s="8">
        <v>0</v>
      </c>
      <c r="F295" s="8">
        <v>0</v>
      </c>
      <c r="G295" s="8">
        <f t="shared" si="42"/>
        <v>0</v>
      </c>
      <c r="H295" s="10">
        <v>0</v>
      </c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</row>
    <row r="296" spans="1:28" ht="12.75">
      <c r="A296" s="7">
        <v>566</v>
      </c>
      <c r="B296" s="5" t="s">
        <v>27</v>
      </c>
      <c r="C296" s="8">
        <v>0</v>
      </c>
      <c r="D296" s="8">
        <v>0</v>
      </c>
      <c r="E296" s="8">
        <v>0</v>
      </c>
      <c r="F296" s="8">
        <v>0</v>
      </c>
      <c r="G296" s="8">
        <f t="shared" si="42"/>
        <v>0</v>
      </c>
      <c r="H296" s="10">
        <v>0</v>
      </c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</row>
    <row r="297" spans="1:28" ht="12.75">
      <c r="A297" s="7">
        <v>500</v>
      </c>
      <c r="B297" s="5" t="s">
        <v>28</v>
      </c>
      <c r="C297" s="8">
        <v>0</v>
      </c>
      <c r="D297" s="8">
        <v>0</v>
      </c>
      <c r="E297" s="8">
        <v>0</v>
      </c>
      <c r="F297" s="8">
        <v>0</v>
      </c>
      <c r="G297" s="8">
        <f t="shared" si="42"/>
        <v>0</v>
      </c>
      <c r="H297" s="10">
        <v>0</v>
      </c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</row>
    <row r="298" spans="1:28" ht="12.75">
      <c r="A298" s="7">
        <v>600</v>
      </c>
      <c r="B298" s="5" t="s">
        <v>29</v>
      </c>
      <c r="C298" s="8">
        <v>0</v>
      </c>
      <c r="D298" s="8">
        <v>0</v>
      </c>
      <c r="E298" s="8">
        <v>0</v>
      </c>
      <c r="F298" s="8">
        <v>0</v>
      </c>
      <c r="G298" s="8">
        <f t="shared" si="42"/>
        <v>0</v>
      </c>
      <c r="H298" s="10">
        <v>0</v>
      </c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</row>
    <row r="299" spans="1:28" ht="12.75">
      <c r="A299" s="7">
        <v>700</v>
      </c>
      <c r="B299" s="5" t="s">
        <v>30</v>
      </c>
      <c r="C299" s="8">
        <v>0</v>
      </c>
      <c r="D299" s="8">
        <v>0</v>
      </c>
      <c r="E299" s="8">
        <v>0</v>
      </c>
      <c r="F299" s="8">
        <v>0</v>
      </c>
      <c r="G299" s="8">
        <f t="shared" si="42"/>
        <v>0</v>
      </c>
      <c r="H299" s="10">
        <v>0</v>
      </c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</row>
    <row r="300" spans="1:28" ht="12.75">
      <c r="A300" s="7">
        <v>800</v>
      </c>
      <c r="B300" s="5" t="s">
        <v>31</v>
      </c>
      <c r="C300" s="8">
        <v>0</v>
      </c>
      <c r="D300" s="8">
        <v>0</v>
      </c>
      <c r="E300" s="8">
        <v>0</v>
      </c>
      <c r="F300" s="8">
        <v>0</v>
      </c>
      <c r="G300" s="8">
        <f t="shared" si="42"/>
        <v>0</v>
      </c>
      <c r="H300" s="10">
        <v>0</v>
      </c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</row>
    <row r="301" spans="1:28" ht="12.75">
      <c r="A301" s="7">
        <v>900</v>
      </c>
      <c r="B301" s="5" t="s">
        <v>32</v>
      </c>
      <c r="C301" s="8">
        <v>0</v>
      </c>
      <c r="D301" s="8">
        <v>0</v>
      </c>
      <c r="E301" s="8">
        <v>0</v>
      </c>
      <c r="F301" s="8">
        <v>0</v>
      </c>
      <c r="G301" s="8">
        <f t="shared" si="42"/>
        <v>0</v>
      </c>
      <c r="H301" s="10">
        <v>0</v>
      </c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</row>
    <row r="302" spans="1:28" ht="12.75">
      <c r="A302" s="5"/>
      <c r="B302" s="5"/>
      <c r="C302" s="8">
        <f>SUM(C290:C301)</f>
        <v>0</v>
      </c>
      <c r="D302" s="8">
        <v>0</v>
      </c>
      <c r="E302" s="8">
        <f aca="true" t="shared" si="43" ref="E302:G302">SUM(E290:E301)</f>
        <v>0</v>
      </c>
      <c r="F302" s="8">
        <f t="shared" si="43"/>
        <v>0</v>
      </c>
      <c r="G302" s="8">
        <f t="shared" si="43"/>
        <v>0</v>
      </c>
      <c r="H302" s="10">
        <v>0</v>
      </c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</row>
    <row r="303" spans="1:28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</row>
    <row r="304" spans="1:28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</row>
    <row r="305" spans="1:28" ht="12.75">
      <c r="A305" s="2"/>
      <c r="B305" s="2"/>
      <c r="C305" s="14">
        <f aca="true" t="shared" si="44" ref="C305:F305">C302+C284+C266+C247+C228+C210+C192+C174+C156+C138+C120+C102+C84+C66+C48+C30</f>
        <v>5193974.5600000005</v>
      </c>
      <c r="D305" s="14">
        <f t="shared" si="44"/>
        <v>5135416.57</v>
      </c>
      <c r="E305" s="14">
        <f t="shared" si="44"/>
        <v>5637446.399999999</v>
      </c>
      <c r="F305" s="14">
        <f t="shared" si="44"/>
        <v>5570474.409999999</v>
      </c>
      <c r="G305" s="14">
        <f>F305-E305</f>
        <v>-66971.99000000022</v>
      </c>
      <c r="H305" s="15">
        <f>G305/E305</f>
        <v>-0.011879845101498478</v>
      </c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</row>
    <row r="306" spans="1:28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</row>
    <row r="307" spans="1:28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</row>
    <row r="308" spans="1:28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</row>
    <row r="309" spans="1:28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</row>
    <row r="310" spans="1:28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</row>
    <row r="311" spans="1:28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</row>
    <row r="312" spans="1:28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</row>
    <row r="313" spans="1:28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</row>
    <row r="314" spans="1:28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</row>
    <row r="315" spans="1:28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</row>
    <row r="316" spans="1:28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</row>
    <row r="317" spans="1:28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</row>
    <row r="318" spans="1:28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</row>
    <row r="319" spans="1:28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</row>
    <row r="320" spans="1:28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</row>
    <row r="321" spans="1:28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</row>
    <row r="322" spans="1:28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</row>
    <row r="323" spans="1:28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</row>
    <row r="324" spans="1:28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</row>
    <row r="325" spans="1:28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</row>
    <row r="326" spans="1:28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</row>
    <row r="327" spans="1:28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</row>
    <row r="328" spans="1:28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</row>
    <row r="329" spans="1:28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</row>
    <row r="330" spans="1:28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</row>
    <row r="331" spans="1:28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</row>
    <row r="332" spans="1:28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</row>
    <row r="333" spans="1:28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</row>
    <row r="334" spans="1:28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</row>
    <row r="335" spans="1:28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</row>
    <row r="336" spans="1:28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</row>
    <row r="337" spans="1:28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</row>
    <row r="338" spans="1:28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</row>
    <row r="339" spans="1:28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</row>
    <row r="340" spans="1:28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</row>
    <row r="341" spans="1:28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</row>
    <row r="342" spans="1:28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</row>
    <row r="343" spans="1:28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</row>
    <row r="344" spans="1:28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</row>
    <row r="345" spans="1:28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</row>
    <row r="346" spans="1:28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</row>
    <row r="347" spans="1:28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</row>
    <row r="348" spans="1:28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</row>
    <row r="349" spans="1:28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</row>
    <row r="350" spans="1:28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</row>
    <row r="351" spans="1:28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</row>
    <row r="352" spans="1:28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</row>
    <row r="353" spans="1:28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</row>
    <row r="354" spans="1:28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</row>
    <row r="355" spans="1:28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</row>
    <row r="356" spans="1:28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</row>
    <row r="357" spans="1:28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</row>
    <row r="358" spans="1:28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</row>
    <row r="359" spans="1:28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</row>
    <row r="360" spans="1:28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</row>
    <row r="361" spans="1:28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</row>
    <row r="362" spans="1:28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</row>
    <row r="363" spans="1:28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</row>
    <row r="364" spans="1:28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</row>
    <row r="365" spans="1:28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</row>
    <row r="366" spans="1:28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</row>
    <row r="367" spans="1:28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</row>
    <row r="368" spans="1:28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</row>
    <row r="369" spans="1:28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</row>
    <row r="370" spans="1:28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</row>
    <row r="371" spans="1:28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</row>
    <row r="372" spans="1:28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</row>
    <row r="373" spans="1:28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</row>
    <row r="374" spans="1:28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</row>
    <row r="375" spans="1:28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</row>
    <row r="376" spans="1:28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</row>
    <row r="377" spans="1:28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</row>
    <row r="378" spans="1:28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</row>
    <row r="379" spans="1:28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</row>
    <row r="380" spans="1:28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</row>
    <row r="381" spans="1:28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</row>
    <row r="382" spans="1:28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</row>
    <row r="383" spans="1:28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</row>
    <row r="384" spans="1:28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</row>
    <row r="385" spans="1:28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</row>
    <row r="386" spans="1:28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</row>
    <row r="387" spans="1:28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</row>
    <row r="388" spans="1:28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</row>
    <row r="389" spans="1:28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</row>
    <row r="390" spans="1:28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</row>
    <row r="391" spans="1:28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</row>
    <row r="392" spans="1:28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</row>
    <row r="393" spans="1:28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</row>
    <row r="394" spans="1:28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</row>
    <row r="395" spans="1:28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</row>
    <row r="396" spans="1:28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</row>
    <row r="397" spans="1:28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</row>
    <row r="398" spans="1:28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</row>
    <row r="399" spans="1:28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</row>
    <row r="400" spans="1:28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</row>
    <row r="401" spans="1:28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</row>
    <row r="402" spans="1:28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</row>
    <row r="403" spans="1:28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</row>
    <row r="404" spans="1:28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</row>
    <row r="405" spans="1:28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</row>
    <row r="406" spans="1:28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</row>
    <row r="407" spans="1:28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</row>
    <row r="408" spans="1:28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</row>
    <row r="409" spans="1:28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</row>
    <row r="410" spans="1:28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</row>
    <row r="411" spans="1:28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</row>
    <row r="412" spans="1:28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</row>
    <row r="413" spans="1:28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</row>
    <row r="414" spans="1:28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</row>
    <row r="415" spans="1:28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</row>
    <row r="416" spans="1:28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</row>
    <row r="417" spans="1:28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</row>
    <row r="418" spans="1:28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</row>
    <row r="419" spans="1:28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</row>
    <row r="420" spans="1:28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</row>
    <row r="421" spans="1:28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</row>
    <row r="422" spans="1:28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</row>
    <row r="423" spans="1:28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</row>
    <row r="424" spans="1:28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</row>
    <row r="425" spans="1:28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</row>
    <row r="426" spans="1:28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</row>
    <row r="427" spans="1:28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</row>
    <row r="428" spans="1:28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</row>
    <row r="429" spans="1:28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</row>
    <row r="430" spans="1:28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</row>
    <row r="431" spans="1:28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</row>
    <row r="432" spans="1:28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</row>
    <row r="433" spans="1:28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</row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433"/>
  <sheetViews>
    <sheetView workbookViewId="0" topLeftCell="A1">
      <selection activeCell="A1" sqref="A1"/>
    </sheetView>
  </sheetViews>
  <sheetFormatPr defaultColWidth="13.7109375" defaultRowHeight="15.75" customHeight="1"/>
  <cols>
    <col min="1" max="1" width="7.57421875" style="1" customWidth="1"/>
    <col min="2" max="2" width="31.00390625" style="1" customWidth="1"/>
    <col min="3" max="16384" width="14.421875" style="1" customWidth="1"/>
  </cols>
  <sheetData>
    <row r="1" spans="1:28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2.75">
      <c r="A3" s="2"/>
      <c r="B3" s="2"/>
      <c r="C3" s="2"/>
      <c r="D3" s="3"/>
      <c r="E3" s="3" t="s">
        <v>0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2.75">
      <c r="A4" s="2"/>
      <c r="B4" s="2"/>
      <c r="C4" s="2"/>
      <c r="D4" s="4"/>
      <c r="E4" s="4" t="s">
        <v>1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2.75">
      <c r="A5" s="2"/>
      <c r="B5" s="2"/>
      <c r="C5" s="2"/>
      <c r="D5" s="3"/>
      <c r="E5" s="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2.75">
      <c r="A7" s="5"/>
      <c r="B7" s="5" t="s">
        <v>2</v>
      </c>
      <c r="C7" s="5"/>
      <c r="D7" s="5"/>
      <c r="E7" s="5"/>
      <c r="F7" s="5"/>
      <c r="G7" s="5" t="s">
        <v>7</v>
      </c>
      <c r="H7" s="5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2.75">
      <c r="A8" s="5"/>
      <c r="B8" s="5"/>
      <c r="C8" s="6" t="s">
        <v>4</v>
      </c>
      <c r="D8" s="6" t="s">
        <v>5</v>
      </c>
      <c r="E8" s="6" t="s">
        <v>6</v>
      </c>
      <c r="F8" s="6" t="s">
        <v>1</v>
      </c>
      <c r="G8" s="6"/>
      <c r="H8" s="6" t="s">
        <v>8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2.75">
      <c r="A9" s="7">
        <v>100</v>
      </c>
      <c r="B9" s="5" t="s">
        <v>9</v>
      </c>
      <c r="C9" s="8">
        <v>355457.36</v>
      </c>
      <c r="D9" s="8">
        <v>417662.08</v>
      </c>
      <c r="E9" s="8">
        <v>425380.22</v>
      </c>
      <c r="F9" s="8">
        <v>401209.25</v>
      </c>
      <c r="G9" s="9">
        <f aca="true" t="shared" si="0" ref="G9:G11">F9-E9</f>
        <v>-24170.969999999972</v>
      </c>
      <c r="H9" s="10">
        <f aca="true" t="shared" si="1" ref="H9:H11">(F9-E9)/E9</f>
        <v>-0.05682203558971306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12.75">
      <c r="A10" s="7">
        <v>200</v>
      </c>
      <c r="B10" s="5" t="s">
        <v>10</v>
      </c>
      <c r="C10" s="8">
        <v>156829.97</v>
      </c>
      <c r="D10" s="8">
        <v>180052.4</v>
      </c>
      <c r="E10" s="8">
        <v>214717.78</v>
      </c>
      <c r="F10" s="8">
        <v>218872.17</v>
      </c>
      <c r="G10" s="9">
        <f t="shared" si="0"/>
        <v>4154.390000000014</v>
      </c>
      <c r="H10" s="10">
        <f t="shared" si="1"/>
        <v>0.01934814154654549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2.75">
      <c r="A11" s="5"/>
      <c r="B11" s="5" t="s">
        <v>11</v>
      </c>
      <c r="C11" s="8">
        <f aca="true" t="shared" si="2" ref="C11:F11">SUM(C9:C10)</f>
        <v>512287.32999999996</v>
      </c>
      <c r="D11" s="8">
        <f t="shared" si="2"/>
        <v>597714.48</v>
      </c>
      <c r="E11" s="8">
        <f t="shared" si="2"/>
        <v>640098</v>
      </c>
      <c r="F11" s="8">
        <f t="shared" si="2"/>
        <v>620081.42</v>
      </c>
      <c r="G11" s="9">
        <f t="shared" si="0"/>
        <v>-20016.579999999958</v>
      </c>
      <c r="H11" s="10">
        <f t="shared" si="1"/>
        <v>-0.03127111786007761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12.75">
      <c r="A13" s="2"/>
      <c r="B13" s="2"/>
      <c r="C13" s="2"/>
      <c r="D13" s="2"/>
      <c r="E13" s="2"/>
      <c r="F13" s="2"/>
      <c r="G13" s="15">
        <f>F11/F305</f>
        <v>0.15832327214664893</v>
      </c>
      <c r="H13" s="2" t="s">
        <v>114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12.75">
      <c r="A15" s="2"/>
      <c r="B15" s="2" t="s">
        <v>65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2.75">
      <c r="A16" s="5"/>
      <c r="B16" s="11" t="s">
        <v>16</v>
      </c>
      <c r="C16" s="12" t="s">
        <v>17</v>
      </c>
      <c r="D16" s="12" t="s">
        <v>18</v>
      </c>
      <c r="E16" s="12" t="s">
        <v>19</v>
      </c>
      <c r="F16" s="12" t="s">
        <v>20</v>
      </c>
      <c r="G16" s="11" t="s">
        <v>7</v>
      </c>
      <c r="H16" s="12" t="s">
        <v>21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2.75">
      <c r="A17" s="5"/>
      <c r="B17" s="5"/>
      <c r="C17" s="5"/>
      <c r="D17" s="5"/>
      <c r="E17" s="5"/>
      <c r="F17" s="5"/>
      <c r="G17" s="5"/>
      <c r="H17" s="5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12.75">
      <c r="A18" s="7">
        <v>100</v>
      </c>
      <c r="B18" s="5" t="s">
        <v>22</v>
      </c>
      <c r="C18" s="8">
        <v>0</v>
      </c>
      <c r="D18" s="8">
        <v>0</v>
      </c>
      <c r="E18" s="8">
        <v>0</v>
      </c>
      <c r="F18" s="8">
        <v>0</v>
      </c>
      <c r="G18" s="8">
        <f aca="true" t="shared" si="3" ref="G18:G29">F18-E18</f>
        <v>0</v>
      </c>
      <c r="H18" s="10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2.75">
      <c r="A19" s="7">
        <v>200</v>
      </c>
      <c r="B19" s="5" t="s">
        <v>10</v>
      </c>
      <c r="C19" s="8">
        <v>0</v>
      </c>
      <c r="D19" s="8">
        <v>0</v>
      </c>
      <c r="E19" s="8">
        <v>0</v>
      </c>
      <c r="F19" s="8">
        <v>0</v>
      </c>
      <c r="G19" s="8">
        <f t="shared" si="3"/>
        <v>0</v>
      </c>
      <c r="H19" s="10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2.75">
      <c r="A20" s="7">
        <v>300</v>
      </c>
      <c r="B20" s="5" t="s">
        <v>23</v>
      </c>
      <c r="C20" s="8">
        <v>0</v>
      </c>
      <c r="D20" s="8">
        <v>0</v>
      </c>
      <c r="E20" s="8">
        <v>0</v>
      </c>
      <c r="F20" s="8">
        <v>0</v>
      </c>
      <c r="G20" s="8">
        <f t="shared" si="3"/>
        <v>0</v>
      </c>
      <c r="H20" s="10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2.75">
      <c r="A21" s="7">
        <v>400</v>
      </c>
      <c r="B21" s="5" t="s">
        <v>24</v>
      </c>
      <c r="C21" s="8">
        <v>0</v>
      </c>
      <c r="D21" s="8">
        <v>0</v>
      </c>
      <c r="E21" s="8">
        <v>0</v>
      </c>
      <c r="F21" s="8">
        <v>0</v>
      </c>
      <c r="G21" s="8">
        <f t="shared" si="3"/>
        <v>0</v>
      </c>
      <c r="H21" s="10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12.75">
      <c r="A22" s="7">
        <v>561</v>
      </c>
      <c r="B22" s="5" t="s">
        <v>25</v>
      </c>
      <c r="C22" s="8">
        <v>0</v>
      </c>
      <c r="D22" s="8">
        <v>0</v>
      </c>
      <c r="E22" s="8">
        <v>0</v>
      </c>
      <c r="F22" s="8">
        <v>0</v>
      </c>
      <c r="G22" s="8">
        <f t="shared" si="3"/>
        <v>0</v>
      </c>
      <c r="H22" s="10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12.75">
      <c r="A23" s="7">
        <v>593</v>
      </c>
      <c r="B23" s="5" t="s">
        <v>26</v>
      </c>
      <c r="C23" s="8">
        <v>0</v>
      </c>
      <c r="D23" s="8">
        <v>0</v>
      </c>
      <c r="E23" s="8">
        <v>0</v>
      </c>
      <c r="F23" s="8">
        <v>0</v>
      </c>
      <c r="G23" s="8">
        <f t="shared" si="3"/>
        <v>0</v>
      </c>
      <c r="H23" s="10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2.75">
      <c r="A24" s="7">
        <v>566</v>
      </c>
      <c r="B24" s="5" t="s">
        <v>27</v>
      </c>
      <c r="C24" s="8">
        <v>0</v>
      </c>
      <c r="D24" s="8">
        <v>0</v>
      </c>
      <c r="E24" s="8">
        <v>0</v>
      </c>
      <c r="F24" s="8">
        <v>0</v>
      </c>
      <c r="G24" s="8">
        <f t="shared" si="3"/>
        <v>0</v>
      </c>
      <c r="H24" s="10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2.75">
      <c r="A25" s="7">
        <v>500</v>
      </c>
      <c r="B25" s="5" t="s">
        <v>28</v>
      </c>
      <c r="C25" s="8">
        <v>0</v>
      </c>
      <c r="D25" s="8">
        <v>0</v>
      </c>
      <c r="E25" s="8">
        <v>0</v>
      </c>
      <c r="F25" s="8">
        <v>0</v>
      </c>
      <c r="G25" s="8">
        <f t="shared" si="3"/>
        <v>0</v>
      </c>
      <c r="H25" s="10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12.75">
      <c r="A26" s="7">
        <v>600</v>
      </c>
      <c r="B26" s="5" t="s">
        <v>29</v>
      </c>
      <c r="C26" s="8">
        <v>0</v>
      </c>
      <c r="D26" s="8">
        <v>0</v>
      </c>
      <c r="E26" s="8">
        <v>0</v>
      </c>
      <c r="F26" s="8">
        <v>0</v>
      </c>
      <c r="G26" s="8">
        <f t="shared" si="3"/>
        <v>0</v>
      </c>
      <c r="H26" s="10">
        <v>0</v>
      </c>
      <c r="I26" s="15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12.75">
      <c r="A27" s="7">
        <v>700</v>
      </c>
      <c r="B27" s="5" t="s">
        <v>30</v>
      </c>
      <c r="C27" s="8">
        <v>0</v>
      </c>
      <c r="D27" s="8">
        <v>0</v>
      </c>
      <c r="E27" s="8">
        <v>0</v>
      </c>
      <c r="F27" s="8">
        <v>0</v>
      </c>
      <c r="G27" s="8">
        <f t="shared" si="3"/>
        <v>0</v>
      </c>
      <c r="H27" s="10">
        <v>0</v>
      </c>
      <c r="I27" s="15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12.75">
      <c r="A28" s="7">
        <v>800</v>
      </c>
      <c r="B28" s="5" t="s">
        <v>31</v>
      </c>
      <c r="C28" s="8">
        <v>20919.23</v>
      </c>
      <c r="D28" s="8">
        <v>12817.16</v>
      </c>
      <c r="E28" s="8">
        <v>15000</v>
      </c>
      <c r="F28" s="8">
        <v>13000</v>
      </c>
      <c r="G28" s="8">
        <f t="shared" si="3"/>
        <v>-2000</v>
      </c>
      <c r="H28" s="10">
        <f>G28/E28</f>
        <v>-0.13333333333333333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12.75">
      <c r="A29" s="7">
        <v>900</v>
      </c>
      <c r="B29" s="5" t="s">
        <v>32</v>
      </c>
      <c r="C29" s="8">
        <v>0</v>
      </c>
      <c r="D29" s="8">
        <v>0</v>
      </c>
      <c r="E29" s="8">
        <v>0</v>
      </c>
      <c r="F29" s="8">
        <v>0</v>
      </c>
      <c r="G29" s="8">
        <f t="shared" si="3"/>
        <v>0</v>
      </c>
      <c r="H29" s="10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12.75">
      <c r="A30" s="5"/>
      <c r="B30" s="5"/>
      <c r="C30" s="8">
        <f aca="true" t="shared" si="4" ref="C30:G30">SUM(C18:C29)</f>
        <v>20919.23</v>
      </c>
      <c r="D30" s="8">
        <f t="shared" si="4"/>
        <v>12817.16</v>
      </c>
      <c r="E30" s="8">
        <f t="shared" si="4"/>
        <v>15000</v>
      </c>
      <c r="F30" s="8">
        <f t="shared" si="4"/>
        <v>13000</v>
      </c>
      <c r="G30" s="8">
        <f t="shared" si="4"/>
        <v>-2000</v>
      </c>
      <c r="H30" s="10">
        <f>G30/E30</f>
        <v>-0.13333333333333333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2.75">
      <c r="A31" s="2"/>
      <c r="B31" s="2"/>
      <c r="C31" s="14"/>
      <c r="D31" s="14"/>
      <c r="E31" s="14"/>
      <c r="F31" s="14"/>
      <c r="G31" s="14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ht="12.75">
      <c r="A32" s="2"/>
      <c r="B32" s="2"/>
      <c r="C32" s="14"/>
      <c r="D32" s="14"/>
      <c r="E32" s="14"/>
      <c r="F32" s="14"/>
      <c r="G32" s="14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ht="12.75">
      <c r="A33" s="2"/>
      <c r="B33" s="2" t="s">
        <v>66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ht="12.75">
      <c r="A34" s="5"/>
      <c r="B34" s="11" t="s">
        <v>16</v>
      </c>
      <c r="C34" s="12" t="s">
        <v>17</v>
      </c>
      <c r="D34" s="12" t="s">
        <v>18</v>
      </c>
      <c r="E34" s="12" t="s">
        <v>19</v>
      </c>
      <c r="F34" s="12" t="s">
        <v>20</v>
      </c>
      <c r="G34" s="11" t="s">
        <v>7</v>
      </c>
      <c r="H34" s="12" t="s">
        <v>21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ht="12.75">
      <c r="A35" s="5"/>
      <c r="B35" s="5"/>
      <c r="C35" s="5"/>
      <c r="D35" s="5"/>
      <c r="E35" s="5"/>
      <c r="F35" s="5"/>
      <c r="G35" s="5"/>
      <c r="H35" s="5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ht="12.75">
      <c r="A36" s="7">
        <v>100</v>
      </c>
      <c r="B36" s="5" t="s">
        <v>22</v>
      </c>
      <c r="C36" s="8">
        <v>30367.5</v>
      </c>
      <c r="D36" s="8">
        <v>31067.5</v>
      </c>
      <c r="E36" s="8">
        <v>31913</v>
      </c>
      <c r="F36" s="8">
        <v>31913</v>
      </c>
      <c r="G36" s="8">
        <f aca="true" t="shared" si="5" ref="G36:G47">F36-E36</f>
        <v>0</v>
      </c>
      <c r="H36" s="10">
        <f aca="true" t="shared" si="6" ref="H36:H37">G36/E36</f>
        <v>0</v>
      </c>
      <c r="I36" s="2" t="s">
        <v>67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ht="12.75">
      <c r="A37" s="7">
        <v>200</v>
      </c>
      <c r="B37" s="5" t="s">
        <v>10</v>
      </c>
      <c r="C37" s="8">
        <v>5822.58</v>
      </c>
      <c r="D37" s="8">
        <v>7443.49</v>
      </c>
      <c r="E37" s="8">
        <v>7636.63</v>
      </c>
      <c r="F37" s="8">
        <v>7982.13</v>
      </c>
      <c r="G37" s="8">
        <f t="shared" si="5"/>
        <v>345.5</v>
      </c>
      <c r="H37" s="10">
        <f t="shared" si="6"/>
        <v>0.04524246951862274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ht="12.75">
      <c r="A38" s="7">
        <v>300</v>
      </c>
      <c r="B38" s="5" t="s">
        <v>23</v>
      </c>
      <c r="C38" s="8">
        <v>0</v>
      </c>
      <c r="D38" s="8">
        <v>0</v>
      </c>
      <c r="E38" s="8">
        <v>0</v>
      </c>
      <c r="F38" s="8">
        <v>0</v>
      </c>
      <c r="G38" s="8">
        <f t="shared" si="5"/>
        <v>0</v>
      </c>
      <c r="H38" s="10">
        <v>0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ht="12.75">
      <c r="A39" s="7">
        <v>400</v>
      </c>
      <c r="B39" s="5" t="s">
        <v>24</v>
      </c>
      <c r="C39" s="8">
        <v>0</v>
      </c>
      <c r="D39" s="8">
        <v>0</v>
      </c>
      <c r="E39" s="8">
        <v>0</v>
      </c>
      <c r="F39" s="8">
        <v>0</v>
      </c>
      <c r="G39" s="8">
        <f t="shared" si="5"/>
        <v>0</v>
      </c>
      <c r="H39" s="10">
        <v>0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ht="12.75">
      <c r="A40" s="7">
        <v>561</v>
      </c>
      <c r="B40" s="5" t="s">
        <v>25</v>
      </c>
      <c r="C40" s="8">
        <v>188495.33</v>
      </c>
      <c r="D40" s="8">
        <v>117494.22</v>
      </c>
      <c r="E40" s="8">
        <v>212160</v>
      </c>
      <c r="F40" s="8">
        <v>176800</v>
      </c>
      <c r="G40" s="8">
        <f t="shared" si="5"/>
        <v>-35360</v>
      </c>
      <c r="H40" s="10">
        <f>G40/E40</f>
        <v>-0.16666666666666666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ht="12.75">
      <c r="A41" s="7">
        <v>593</v>
      </c>
      <c r="B41" s="5" t="s">
        <v>26</v>
      </c>
      <c r="C41" s="8">
        <v>0</v>
      </c>
      <c r="D41" s="8">
        <v>0</v>
      </c>
      <c r="E41" s="8">
        <v>0</v>
      </c>
      <c r="F41" s="8">
        <v>0</v>
      </c>
      <c r="G41" s="8">
        <f t="shared" si="5"/>
        <v>0</v>
      </c>
      <c r="H41" s="10">
        <v>0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ht="12.75">
      <c r="A42" s="7">
        <v>566</v>
      </c>
      <c r="B42" s="5" t="s">
        <v>27</v>
      </c>
      <c r="C42" s="8">
        <v>0</v>
      </c>
      <c r="D42" s="8">
        <v>0</v>
      </c>
      <c r="E42" s="8">
        <v>0</v>
      </c>
      <c r="F42" s="8">
        <v>0</v>
      </c>
      <c r="G42" s="8">
        <f t="shared" si="5"/>
        <v>0</v>
      </c>
      <c r="H42" s="10">
        <v>0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ht="12.75">
      <c r="A43" s="7">
        <v>500</v>
      </c>
      <c r="B43" s="5" t="s">
        <v>28</v>
      </c>
      <c r="C43" s="8">
        <v>500.58</v>
      </c>
      <c r="D43" s="8">
        <f>228.77</f>
        <v>228.77</v>
      </c>
      <c r="E43" s="8">
        <v>1300</v>
      </c>
      <c r="F43" s="8">
        <v>1300</v>
      </c>
      <c r="G43" s="8">
        <f t="shared" si="5"/>
        <v>0</v>
      </c>
      <c r="H43" s="10">
        <v>0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ht="12.75">
      <c r="A44" s="7">
        <v>600</v>
      </c>
      <c r="B44" s="5" t="s">
        <v>29</v>
      </c>
      <c r="C44" s="8">
        <v>821.01</v>
      </c>
      <c r="D44" s="8">
        <v>456.89</v>
      </c>
      <c r="E44" s="8">
        <v>1000</v>
      </c>
      <c r="F44" s="8">
        <v>1000</v>
      </c>
      <c r="G44" s="8">
        <f t="shared" si="5"/>
        <v>0</v>
      </c>
      <c r="H44" s="10">
        <f>G44/E44</f>
        <v>0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ht="12.75">
      <c r="A45" s="7">
        <v>700</v>
      </c>
      <c r="B45" s="5" t="s">
        <v>30</v>
      </c>
      <c r="C45" s="8">
        <v>0</v>
      </c>
      <c r="D45" s="8">
        <v>0</v>
      </c>
      <c r="E45" s="8">
        <v>0</v>
      </c>
      <c r="F45" s="8">
        <v>0</v>
      </c>
      <c r="G45" s="8">
        <f t="shared" si="5"/>
        <v>0</v>
      </c>
      <c r="H45" s="10">
        <v>0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ht="12.75">
      <c r="A46" s="7">
        <v>800</v>
      </c>
      <c r="B46" s="5" t="s">
        <v>31</v>
      </c>
      <c r="C46" s="8">
        <v>0</v>
      </c>
      <c r="D46" s="8">
        <v>0</v>
      </c>
      <c r="E46" s="8">
        <v>0</v>
      </c>
      <c r="F46" s="8">
        <v>0</v>
      </c>
      <c r="G46" s="8">
        <f t="shared" si="5"/>
        <v>0</v>
      </c>
      <c r="H46" s="10">
        <v>0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ht="12.75">
      <c r="A47" s="7">
        <v>900</v>
      </c>
      <c r="B47" s="5" t="s">
        <v>32</v>
      </c>
      <c r="C47" s="8">
        <v>0</v>
      </c>
      <c r="D47" s="8">
        <v>0</v>
      </c>
      <c r="E47" s="8">
        <v>0</v>
      </c>
      <c r="F47" s="8">
        <v>0</v>
      </c>
      <c r="G47" s="8">
        <f t="shared" si="5"/>
        <v>0</v>
      </c>
      <c r="H47" s="10">
        <v>0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ht="12.75">
      <c r="A48" s="5"/>
      <c r="B48" s="5"/>
      <c r="C48" s="8">
        <f aca="true" t="shared" si="7" ref="C48:G48">SUM(C36:C47)</f>
        <v>226006.99999999997</v>
      </c>
      <c r="D48" s="8">
        <f t="shared" si="7"/>
        <v>156690.87</v>
      </c>
      <c r="E48" s="8">
        <f t="shared" si="7"/>
        <v>254009.63</v>
      </c>
      <c r="F48" s="8">
        <f t="shared" si="7"/>
        <v>218995.13</v>
      </c>
      <c r="G48" s="8">
        <f t="shared" si="7"/>
        <v>-35014.5</v>
      </c>
      <c r="H48" s="10">
        <f>G48/E48</f>
        <v>-0.1378471359530739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ht="12.75">
      <c r="A51" s="2"/>
      <c r="B51" s="2" t="s">
        <v>68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ht="12.75">
      <c r="A52" s="5"/>
      <c r="B52" s="11" t="s">
        <v>16</v>
      </c>
      <c r="C52" s="12" t="s">
        <v>17</v>
      </c>
      <c r="D52" s="12" t="s">
        <v>18</v>
      </c>
      <c r="E52" s="12" t="s">
        <v>19</v>
      </c>
      <c r="F52" s="12" t="s">
        <v>20</v>
      </c>
      <c r="G52" s="11" t="s">
        <v>7</v>
      </c>
      <c r="H52" s="12" t="s">
        <v>21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ht="12.75">
      <c r="A53" s="5"/>
      <c r="B53" s="5"/>
      <c r="C53" s="5"/>
      <c r="D53" s="5"/>
      <c r="E53" s="5"/>
      <c r="F53" s="5"/>
      <c r="G53" s="5"/>
      <c r="H53" s="5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ht="12.75">
      <c r="A54" s="7">
        <v>100</v>
      </c>
      <c r="B54" s="5" t="s">
        <v>22</v>
      </c>
      <c r="C54" s="8">
        <v>30311.25</v>
      </c>
      <c r="D54" s="8">
        <v>37889.06</v>
      </c>
      <c r="E54" s="8">
        <v>37889.06</v>
      </c>
      <c r="F54" s="8">
        <v>39404.5</v>
      </c>
      <c r="G54" s="8">
        <f aca="true" t="shared" si="8" ref="G54:G65">F54-E54</f>
        <v>1515.4400000000023</v>
      </c>
      <c r="H54" s="10">
        <f aca="true" t="shared" si="9" ref="H54:H55">G54/E54</f>
        <v>0.03999676951605562</v>
      </c>
      <c r="I54" s="2" t="s">
        <v>67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ht="12.75">
      <c r="A55" s="7">
        <v>200</v>
      </c>
      <c r="B55" s="5" t="s">
        <v>10</v>
      </c>
      <c r="C55" s="8">
        <v>3922.88</v>
      </c>
      <c r="D55" s="8">
        <f>2898.42+55.2+278.41</f>
        <v>3232.0299999999997</v>
      </c>
      <c r="E55" s="8">
        <v>4650.73</v>
      </c>
      <c r="F55" s="8">
        <v>4956.83</v>
      </c>
      <c r="G55" s="8">
        <f t="shared" si="8"/>
        <v>306.10000000000036</v>
      </c>
      <c r="H55" s="10">
        <f t="shared" si="9"/>
        <v>0.06581762432994398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 ht="12.75">
      <c r="A56" s="7">
        <v>300</v>
      </c>
      <c r="B56" s="5" t="s">
        <v>23</v>
      </c>
      <c r="C56" s="8">
        <v>0</v>
      </c>
      <c r="D56" s="8">
        <v>0</v>
      </c>
      <c r="E56" s="8">
        <v>0</v>
      </c>
      <c r="F56" s="8">
        <v>0</v>
      </c>
      <c r="G56" s="8">
        <f t="shared" si="8"/>
        <v>0</v>
      </c>
      <c r="H56" s="10">
        <v>0</v>
      </c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ht="12.75">
      <c r="A57" s="7">
        <v>400</v>
      </c>
      <c r="B57" s="5" t="s">
        <v>24</v>
      </c>
      <c r="C57" s="8">
        <v>0</v>
      </c>
      <c r="D57" s="8">
        <v>0</v>
      </c>
      <c r="E57" s="8">
        <v>0</v>
      </c>
      <c r="F57" s="8">
        <v>0</v>
      </c>
      <c r="G57" s="8">
        <f t="shared" si="8"/>
        <v>0</v>
      </c>
      <c r="H57" s="10">
        <v>0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 ht="12.75">
      <c r="A58" s="7">
        <v>561</v>
      </c>
      <c r="B58" s="5" t="s">
        <v>25</v>
      </c>
      <c r="C58" s="8">
        <v>0</v>
      </c>
      <c r="D58" s="8">
        <v>0</v>
      </c>
      <c r="E58" s="8">
        <v>0</v>
      </c>
      <c r="F58" s="8">
        <v>0</v>
      </c>
      <c r="G58" s="8">
        <f t="shared" si="8"/>
        <v>0</v>
      </c>
      <c r="H58" s="10">
        <v>0</v>
      </c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 ht="12.75">
      <c r="A59" s="7">
        <v>593</v>
      </c>
      <c r="B59" s="5" t="s">
        <v>26</v>
      </c>
      <c r="C59" s="8">
        <v>0</v>
      </c>
      <c r="D59" s="8">
        <v>0</v>
      </c>
      <c r="E59" s="8">
        <v>0</v>
      </c>
      <c r="F59" s="8">
        <v>0</v>
      </c>
      <c r="G59" s="8">
        <f t="shared" si="8"/>
        <v>0</v>
      </c>
      <c r="H59" s="10">
        <v>0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 ht="12.75">
      <c r="A60" s="7">
        <v>566</v>
      </c>
      <c r="B60" s="5" t="s">
        <v>27</v>
      </c>
      <c r="C60" s="8">
        <v>0</v>
      </c>
      <c r="D60" s="8">
        <v>0</v>
      </c>
      <c r="E60" s="8">
        <v>0</v>
      </c>
      <c r="F60" s="8">
        <v>0</v>
      </c>
      <c r="G60" s="8">
        <f t="shared" si="8"/>
        <v>0</v>
      </c>
      <c r="H60" s="10">
        <v>0</v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ht="12.75">
      <c r="A61" s="7">
        <v>500</v>
      </c>
      <c r="B61" s="5" t="s">
        <v>28</v>
      </c>
      <c r="C61" s="8">
        <v>0</v>
      </c>
      <c r="D61" s="8">
        <v>0</v>
      </c>
      <c r="E61" s="8">
        <v>0</v>
      </c>
      <c r="F61" s="8">
        <v>0</v>
      </c>
      <c r="G61" s="8">
        <f t="shared" si="8"/>
        <v>0</v>
      </c>
      <c r="H61" s="10">
        <v>0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ht="12.75">
      <c r="A62" s="7">
        <v>600</v>
      </c>
      <c r="B62" s="5" t="s">
        <v>29</v>
      </c>
      <c r="C62" s="8">
        <v>0</v>
      </c>
      <c r="D62" s="8">
        <f>2717.99+6239</f>
        <v>8956.99</v>
      </c>
      <c r="E62" s="8">
        <v>1858</v>
      </c>
      <c r="F62" s="8">
        <v>4000</v>
      </c>
      <c r="G62" s="8">
        <f t="shared" si="8"/>
        <v>2142</v>
      </c>
      <c r="H62" s="10">
        <v>0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ht="12.75">
      <c r="A63" s="7">
        <v>700</v>
      </c>
      <c r="B63" s="5" t="s">
        <v>30</v>
      </c>
      <c r="C63" s="8">
        <v>0</v>
      </c>
      <c r="D63" s="8">
        <v>0</v>
      </c>
      <c r="E63" s="8">
        <v>0</v>
      </c>
      <c r="F63" s="8">
        <v>0</v>
      </c>
      <c r="G63" s="8">
        <f t="shared" si="8"/>
        <v>0</v>
      </c>
      <c r="H63" s="10">
        <v>0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ht="12.75">
      <c r="A64" s="7">
        <v>800</v>
      </c>
      <c r="B64" s="5" t="s">
        <v>31</v>
      </c>
      <c r="C64" s="8">
        <f>696+114.5</f>
        <v>810.5</v>
      </c>
      <c r="D64" s="8">
        <v>0</v>
      </c>
      <c r="E64" s="8">
        <v>5738</v>
      </c>
      <c r="F64" s="8">
        <v>1000</v>
      </c>
      <c r="G64" s="8">
        <f t="shared" si="8"/>
        <v>-4738</v>
      </c>
      <c r="H64" s="10">
        <v>0</v>
      </c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ht="12.75">
      <c r="A65" s="7">
        <v>900</v>
      </c>
      <c r="B65" s="5" t="s">
        <v>32</v>
      </c>
      <c r="C65" s="8">
        <v>0</v>
      </c>
      <c r="D65" s="8">
        <v>0</v>
      </c>
      <c r="E65" s="8">
        <v>0</v>
      </c>
      <c r="F65" s="8">
        <v>0</v>
      </c>
      <c r="G65" s="8">
        <f t="shared" si="8"/>
        <v>0</v>
      </c>
      <c r="H65" s="10">
        <v>0</v>
      </c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 ht="12.75">
      <c r="A66" s="5"/>
      <c r="B66" s="5"/>
      <c r="C66" s="8">
        <f aca="true" t="shared" si="10" ref="C66:G66">SUM(C54:C65)</f>
        <v>35044.63</v>
      </c>
      <c r="D66" s="8">
        <f t="shared" si="10"/>
        <v>50078.08</v>
      </c>
      <c r="E66" s="8">
        <f t="shared" si="10"/>
        <v>50135.78999999999</v>
      </c>
      <c r="F66" s="8">
        <f t="shared" si="10"/>
        <v>49361.33</v>
      </c>
      <c r="G66" s="8">
        <f t="shared" si="10"/>
        <v>-774.4599999999973</v>
      </c>
      <c r="H66" s="10">
        <f>G66/E66</f>
        <v>-0.015447248362895995</v>
      </c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28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 ht="12.75">
      <c r="A69" s="2"/>
      <c r="B69" s="2" t="s">
        <v>70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28" ht="12.75">
      <c r="A70" s="5"/>
      <c r="B70" s="11" t="s">
        <v>16</v>
      </c>
      <c r="C70" s="12" t="s">
        <v>17</v>
      </c>
      <c r="D70" s="12" t="s">
        <v>18</v>
      </c>
      <c r="E70" s="12" t="s">
        <v>19</v>
      </c>
      <c r="F70" s="12" t="s">
        <v>20</v>
      </c>
      <c r="G70" s="11" t="s">
        <v>7</v>
      </c>
      <c r="H70" s="12" t="s">
        <v>21</v>
      </c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:28" ht="12.75">
      <c r="A71" s="5"/>
      <c r="B71" s="5"/>
      <c r="C71" s="5"/>
      <c r="D71" s="5"/>
      <c r="E71" s="5"/>
      <c r="F71" s="5"/>
      <c r="G71" s="5"/>
      <c r="H71" s="5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 ht="12.75">
      <c r="A72" s="7">
        <v>100</v>
      </c>
      <c r="B72" s="5" t="s">
        <v>22</v>
      </c>
      <c r="C72" s="8">
        <v>0</v>
      </c>
      <c r="D72" s="8">
        <v>0</v>
      </c>
      <c r="E72" s="8">
        <v>0</v>
      </c>
      <c r="F72" s="8">
        <v>0</v>
      </c>
      <c r="G72" s="8">
        <f aca="true" t="shared" si="11" ref="G72:G83">F72-E72</f>
        <v>0</v>
      </c>
      <c r="H72" s="10">
        <v>0</v>
      </c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 ht="12.75">
      <c r="A73" s="7">
        <v>200</v>
      </c>
      <c r="B73" s="5" t="s">
        <v>10</v>
      </c>
      <c r="C73" s="8">
        <v>0</v>
      </c>
      <c r="D73" s="8">
        <v>0</v>
      </c>
      <c r="E73" s="8">
        <v>0</v>
      </c>
      <c r="F73" s="8">
        <v>0</v>
      </c>
      <c r="G73" s="8">
        <f t="shared" si="11"/>
        <v>0</v>
      </c>
      <c r="H73" s="10">
        <v>0</v>
      </c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 ht="12.75">
      <c r="A74" s="7">
        <v>300</v>
      </c>
      <c r="B74" s="5" t="s">
        <v>23</v>
      </c>
      <c r="C74" s="8">
        <v>0</v>
      </c>
      <c r="D74" s="8">
        <v>0</v>
      </c>
      <c r="E74" s="8">
        <v>0</v>
      </c>
      <c r="F74" s="8">
        <v>0</v>
      </c>
      <c r="G74" s="8">
        <f t="shared" si="11"/>
        <v>0</v>
      </c>
      <c r="H74" s="10">
        <v>0</v>
      </c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 ht="12.75">
      <c r="A75" s="7">
        <v>400</v>
      </c>
      <c r="B75" s="5" t="s">
        <v>24</v>
      </c>
      <c r="C75" s="8">
        <v>0</v>
      </c>
      <c r="D75" s="8">
        <v>0</v>
      </c>
      <c r="E75" s="8">
        <v>0</v>
      </c>
      <c r="F75" s="8">
        <v>0</v>
      </c>
      <c r="G75" s="8">
        <f t="shared" si="11"/>
        <v>0</v>
      </c>
      <c r="H75" s="10">
        <v>0</v>
      </c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8" ht="12.75">
      <c r="A76" s="7">
        <v>561</v>
      </c>
      <c r="B76" s="5" t="s">
        <v>25</v>
      </c>
      <c r="C76" s="8">
        <v>0</v>
      </c>
      <c r="D76" s="8">
        <v>0</v>
      </c>
      <c r="E76" s="8">
        <v>0</v>
      </c>
      <c r="F76" s="8">
        <v>0</v>
      </c>
      <c r="G76" s="8">
        <f t="shared" si="11"/>
        <v>0</v>
      </c>
      <c r="H76" s="10">
        <v>0</v>
      </c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:28" ht="12.75">
      <c r="A77" s="7">
        <v>593</v>
      </c>
      <c r="B77" s="5" t="s">
        <v>26</v>
      </c>
      <c r="C77" s="8">
        <v>0</v>
      </c>
      <c r="D77" s="8">
        <v>0</v>
      </c>
      <c r="E77" s="8">
        <v>0</v>
      </c>
      <c r="F77" s="8">
        <v>0</v>
      </c>
      <c r="G77" s="8">
        <f t="shared" si="11"/>
        <v>0</v>
      </c>
      <c r="H77" s="10">
        <v>0</v>
      </c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28" ht="12.75">
      <c r="A78" s="7">
        <v>566</v>
      </c>
      <c r="B78" s="5" t="s">
        <v>27</v>
      </c>
      <c r="C78" s="8">
        <v>0</v>
      </c>
      <c r="D78" s="8">
        <v>0</v>
      </c>
      <c r="E78" s="8">
        <v>0</v>
      </c>
      <c r="F78" s="8">
        <v>0</v>
      </c>
      <c r="G78" s="8">
        <f t="shared" si="11"/>
        <v>0</v>
      </c>
      <c r="H78" s="10">
        <v>0</v>
      </c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1:28" ht="12.75">
      <c r="A79" s="7">
        <v>500</v>
      </c>
      <c r="B79" s="5" t="s">
        <v>28</v>
      </c>
      <c r="C79" s="8">
        <v>0</v>
      </c>
      <c r="D79" s="8">
        <v>0</v>
      </c>
      <c r="E79" s="8">
        <v>0</v>
      </c>
      <c r="F79" s="8">
        <v>0</v>
      </c>
      <c r="G79" s="8">
        <f t="shared" si="11"/>
        <v>0</v>
      </c>
      <c r="H79" s="10">
        <v>0</v>
      </c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1:28" ht="12.75">
      <c r="A80" s="7">
        <v>600</v>
      </c>
      <c r="B80" s="5" t="s">
        <v>29</v>
      </c>
      <c r="C80" s="8">
        <v>0</v>
      </c>
      <c r="D80" s="8">
        <v>0</v>
      </c>
      <c r="E80" s="8">
        <v>6142</v>
      </c>
      <c r="F80" s="8">
        <v>4000</v>
      </c>
      <c r="G80" s="8">
        <f t="shared" si="11"/>
        <v>-2142</v>
      </c>
      <c r="H80" s="10">
        <v>0</v>
      </c>
      <c r="I80" s="2" t="s">
        <v>120</v>
      </c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spans="1:28" ht="12.75">
      <c r="A81" s="7">
        <v>700</v>
      </c>
      <c r="B81" s="5" t="s">
        <v>30</v>
      </c>
      <c r="C81" s="8">
        <v>0</v>
      </c>
      <c r="D81" s="8">
        <v>0</v>
      </c>
      <c r="E81" s="8">
        <v>0</v>
      </c>
      <c r="F81" s="8">
        <v>0</v>
      </c>
      <c r="G81" s="8">
        <f t="shared" si="11"/>
        <v>0</v>
      </c>
      <c r="H81" s="10">
        <v>0</v>
      </c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1:28" ht="12.75">
      <c r="A82" s="7">
        <v>800</v>
      </c>
      <c r="B82" s="5" t="s">
        <v>31</v>
      </c>
      <c r="C82" s="8">
        <v>0</v>
      </c>
      <c r="D82" s="8">
        <v>0</v>
      </c>
      <c r="E82" s="8">
        <v>0</v>
      </c>
      <c r="F82" s="8">
        <v>0</v>
      </c>
      <c r="G82" s="8">
        <f t="shared" si="11"/>
        <v>0</v>
      </c>
      <c r="H82" s="10">
        <v>0</v>
      </c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1:28" ht="12.75">
      <c r="A83" s="7">
        <v>900</v>
      </c>
      <c r="B83" s="5" t="s">
        <v>32</v>
      </c>
      <c r="C83" s="8">
        <v>0</v>
      </c>
      <c r="D83" s="8">
        <v>0</v>
      </c>
      <c r="E83" s="8">
        <v>0</v>
      </c>
      <c r="F83" s="8">
        <v>0</v>
      </c>
      <c r="G83" s="8">
        <f t="shared" si="11"/>
        <v>0</v>
      </c>
      <c r="H83" s="10">
        <v>0</v>
      </c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1:28" ht="12.75">
      <c r="A84" s="5"/>
      <c r="B84" s="5"/>
      <c r="C84" s="8">
        <f>SUM(C72:C83)</f>
        <v>0</v>
      </c>
      <c r="D84" s="8">
        <v>0</v>
      </c>
      <c r="E84" s="8">
        <f aca="true" t="shared" si="12" ref="E84:G84">SUM(E72:E83)</f>
        <v>6142</v>
      </c>
      <c r="F84" s="8">
        <f t="shared" si="12"/>
        <v>4000</v>
      </c>
      <c r="G84" s="8">
        <f t="shared" si="12"/>
        <v>-2142</v>
      </c>
      <c r="H84" s="10">
        <v>0</v>
      </c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1:28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1:28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1:28" ht="12.75">
      <c r="A87" s="2"/>
      <c r="B87" s="2" t="s">
        <v>72</v>
      </c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1:28" ht="12.75">
      <c r="A88" s="5"/>
      <c r="B88" s="11" t="s">
        <v>16</v>
      </c>
      <c r="C88" s="12" t="s">
        <v>17</v>
      </c>
      <c r="D88" s="12" t="s">
        <v>18</v>
      </c>
      <c r="E88" s="12" t="s">
        <v>19</v>
      </c>
      <c r="F88" s="12" t="s">
        <v>20</v>
      </c>
      <c r="G88" s="11" t="s">
        <v>7</v>
      </c>
      <c r="H88" s="12" t="s">
        <v>21</v>
      </c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pans="1:28" ht="12.75">
      <c r="A89" s="5"/>
      <c r="B89" s="5"/>
      <c r="C89" s="5"/>
      <c r="D89" s="5"/>
      <c r="E89" s="5"/>
      <c r="F89" s="5"/>
      <c r="G89" s="5"/>
      <c r="H89" s="5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1:28" ht="12.75">
      <c r="A90" s="7">
        <v>100</v>
      </c>
      <c r="B90" s="5" t="s">
        <v>22</v>
      </c>
      <c r="C90" s="8">
        <v>0</v>
      </c>
      <c r="D90" s="8">
        <v>0</v>
      </c>
      <c r="E90" s="8">
        <v>0</v>
      </c>
      <c r="F90" s="8">
        <v>0</v>
      </c>
      <c r="G90" s="8">
        <f aca="true" t="shared" si="13" ref="G90:G101">F90-E90</f>
        <v>0</v>
      </c>
      <c r="H90" s="10">
        <v>0</v>
      </c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spans="1:28" ht="12.75">
      <c r="A91" s="7">
        <v>200</v>
      </c>
      <c r="B91" s="5" t="s">
        <v>10</v>
      </c>
      <c r="C91" s="8">
        <v>0</v>
      </c>
      <c r="D91" s="8">
        <v>0</v>
      </c>
      <c r="E91" s="8">
        <v>0</v>
      </c>
      <c r="F91" s="8">
        <v>0</v>
      </c>
      <c r="G91" s="8">
        <f t="shared" si="13"/>
        <v>0</v>
      </c>
      <c r="H91" s="10">
        <v>0</v>
      </c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pans="1:28" ht="12.75">
      <c r="A92" s="7">
        <v>300</v>
      </c>
      <c r="B92" s="5" t="s">
        <v>23</v>
      </c>
      <c r="C92" s="8">
        <v>0</v>
      </c>
      <c r="D92" s="8">
        <v>0</v>
      </c>
      <c r="E92" s="8">
        <v>0</v>
      </c>
      <c r="F92" s="8">
        <v>0</v>
      </c>
      <c r="G92" s="8">
        <f t="shared" si="13"/>
        <v>0</v>
      </c>
      <c r="H92" s="10">
        <v>0</v>
      </c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spans="1:28" ht="12.75">
      <c r="A93" s="7">
        <v>400</v>
      </c>
      <c r="B93" s="5" t="s">
        <v>24</v>
      </c>
      <c r="C93" s="8">
        <v>0</v>
      </c>
      <c r="D93" s="8">
        <v>0</v>
      </c>
      <c r="E93" s="8">
        <v>0</v>
      </c>
      <c r="F93" s="8">
        <v>0</v>
      </c>
      <c r="G93" s="8">
        <f t="shared" si="13"/>
        <v>0</v>
      </c>
      <c r="H93" s="10">
        <v>0</v>
      </c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1:28" ht="12.75">
      <c r="A94" s="7">
        <v>561</v>
      </c>
      <c r="B94" s="5" t="s">
        <v>25</v>
      </c>
      <c r="C94" s="8">
        <v>0</v>
      </c>
      <c r="D94" s="8">
        <v>0</v>
      </c>
      <c r="E94" s="8">
        <v>0</v>
      </c>
      <c r="F94" s="8">
        <v>0</v>
      </c>
      <c r="G94" s="8">
        <f t="shared" si="13"/>
        <v>0</v>
      </c>
      <c r="H94" s="10">
        <v>0</v>
      </c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1:28" ht="12.75">
      <c r="A95" s="7">
        <v>593</v>
      </c>
      <c r="B95" s="5" t="s">
        <v>26</v>
      </c>
      <c r="C95" s="8">
        <v>0</v>
      </c>
      <c r="D95" s="8">
        <v>0</v>
      </c>
      <c r="E95" s="8">
        <v>0</v>
      </c>
      <c r="F95" s="8">
        <v>0</v>
      </c>
      <c r="G95" s="8">
        <f t="shared" si="13"/>
        <v>0</v>
      </c>
      <c r="H95" s="10">
        <v>0</v>
      </c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1:28" ht="12.75">
      <c r="A96" s="7">
        <v>566</v>
      </c>
      <c r="B96" s="5" t="s">
        <v>27</v>
      </c>
      <c r="C96" s="8">
        <v>0</v>
      </c>
      <c r="D96" s="8">
        <v>0</v>
      </c>
      <c r="E96" s="8">
        <v>0</v>
      </c>
      <c r="F96" s="8">
        <v>0</v>
      </c>
      <c r="G96" s="8">
        <f t="shared" si="13"/>
        <v>0</v>
      </c>
      <c r="H96" s="10">
        <v>0</v>
      </c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1:28" ht="12.75">
      <c r="A97" s="7">
        <v>500</v>
      </c>
      <c r="B97" s="5" t="s">
        <v>28</v>
      </c>
      <c r="C97" s="8">
        <v>0</v>
      </c>
      <c r="D97" s="8">
        <v>0</v>
      </c>
      <c r="E97" s="8">
        <v>0</v>
      </c>
      <c r="F97" s="8">
        <v>0</v>
      </c>
      <c r="G97" s="8">
        <f t="shared" si="13"/>
        <v>0</v>
      </c>
      <c r="H97" s="10">
        <v>0</v>
      </c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1:28" ht="12.75">
      <c r="A98" s="7">
        <v>600</v>
      </c>
      <c r="B98" s="5" t="s">
        <v>29</v>
      </c>
      <c r="C98" s="8">
        <v>0</v>
      </c>
      <c r="D98" s="8">
        <v>0</v>
      </c>
      <c r="E98" s="8">
        <v>0</v>
      </c>
      <c r="F98" s="8">
        <v>0</v>
      </c>
      <c r="G98" s="8">
        <f t="shared" si="13"/>
        <v>0</v>
      </c>
      <c r="H98" s="10">
        <v>0</v>
      </c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1:28" ht="12.75">
      <c r="A99" s="7">
        <v>700</v>
      </c>
      <c r="B99" s="5" t="s">
        <v>30</v>
      </c>
      <c r="C99" s="8">
        <v>0</v>
      </c>
      <c r="D99" s="8">
        <v>0</v>
      </c>
      <c r="E99" s="8">
        <v>0</v>
      </c>
      <c r="F99" s="8">
        <v>0</v>
      </c>
      <c r="G99" s="8">
        <f t="shared" si="13"/>
        <v>0</v>
      </c>
      <c r="H99" s="10">
        <v>0</v>
      </c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1:28" ht="12.75">
      <c r="A100" s="7">
        <v>800</v>
      </c>
      <c r="B100" s="5" t="s">
        <v>31</v>
      </c>
      <c r="C100" s="8">
        <v>0</v>
      </c>
      <c r="D100" s="8">
        <v>0</v>
      </c>
      <c r="E100" s="8">
        <v>0</v>
      </c>
      <c r="F100" s="8">
        <v>0</v>
      </c>
      <c r="G100" s="8">
        <f t="shared" si="13"/>
        <v>0</v>
      </c>
      <c r="H100" s="10">
        <v>0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1:28" ht="12.75">
      <c r="A101" s="7">
        <v>900</v>
      </c>
      <c r="B101" s="5" t="s">
        <v>32</v>
      </c>
      <c r="C101" s="8">
        <v>0</v>
      </c>
      <c r="D101" s="8">
        <v>0</v>
      </c>
      <c r="E101" s="8">
        <v>0</v>
      </c>
      <c r="F101" s="8">
        <v>0</v>
      </c>
      <c r="G101" s="8">
        <f t="shared" si="13"/>
        <v>0</v>
      </c>
      <c r="H101" s="10">
        <v>0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1:28" ht="12.75">
      <c r="A102" s="5"/>
      <c r="B102" s="5"/>
      <c r="C102" s="8">
        <f>SUM(C90:C101)</f>
        <v>0</v>
      </c>
      <c r="D102" s="8">
        <v>0</v>
      </c>
      <c r="E102" s="8">
        <f aca="true" t="shared" si="14" ref="E102:G102">SUM(E90:E101)</f>
        <v>0</v>
      </c>
      <c r="F102" s="8">
        <f t="shared" si="14"/>
        <v>0</v>
      </c>
      <c r="G102" s="8">
        <f t="shared" si="14"/>
        <v>0</v>
      </c>
      <c r="H102" s="10">
        <v>0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1:28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1:28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1:28" ht="12.75">
      <c r="A105" s="2"/>
      <c r="B105" s="2" t="s">
        <v>74</v>
      </c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1:28" ht="12.75">
      <c r="A106" s="5"/>
      <c r="B106" s="11" t="s">
        <v>16</v>
      </c>
      <c r="C106" s="12" t="s">
        <v>17</v>
      </c>
      <c r="D106" s="12" t="s">
        <v>18</v>
      </c>
      <c r="E106" s="12" t="s">
        <v>19</v>
      </c>
      <c r="F106" s="12" t="s">
        <v>20</v>
      </c>
      <c r="G106" s="11" t="s">
        <v>7</v>
      </c>
      <c r="H106" s="12" t="s">
        <v>21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1:28" ht="12.75">
      <c r="A107" s="5"/>
      <c r="B107" s="5"/>
      <c r="C107" s="5"/>
      <c r="D107" s="5"/>
      <c r="E107" s="5"/>
      <c r="F107" s="5"/>
      <c r="G107" s="5"/>
      <c r="H107" s="5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1:28" ht="12.75">
      <c r="A108" s="7">
        <v>100</v>
      </c>
      <c r="B108" s="5" t="s">
        <v>22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10">
        <v>0</v>
      </c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1:28" ht="12.75">
      <c r="A109" s="7">
        <v>200</v>
      </c>
      <c r="B109" s="5" t="s">
        <v>10</v>
      </c>
      <c r="C109" s="8">
        <v>0</v>
      </c>
      <c r="D109" s="8">
        <v>0</v>
      </c>
      <c r="E109" s="8">
        <v>0</v>
      </c>
      <c r="F109" s="8">
        <v>0</v>
      </c>
      <c r="G109" s="8">
        <f aca="true" t="shared" si="15" ref="G109:G119">F109-E109</f>
        <v>0</v>
      </c>
      <c r="H109" s="10">
        <v>0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ht="12.75">
      <c r="A110" s="7">
        <v>300</v>
      </c>
      <c r="B110" s="5" t="s">
        <v>23</v>
      </c>
      <c r="C110" s="8">
        <v>0</v>
      </c>
      <c r="D110" s="8">
        <v>0</v>
      </c>
      <c r="E110" s="8">
        <v>0</v>
      </c>
      <c r="F110" s="8">
        <v>0</v>
      </c>
      <c r="G110" s="8">
        <f t="shared" si="15"/>
        <v>0</v>
      </c>
      <c r="H110" s="10">
        <v>0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ht="12.75">
      <c r="A111" s="7">
        <v>400</v>
      </c>
      <c r="B111" s="5" t="s">
        <v>24</v>
      </c>
      <c r="C111" s="8">
        <v>0</v>
      </c>
      <c r="D111" s="8">
        <v>0</v>
      </c>
      <c r="E111" s="8">
        <v>0</v>
      </c>
      <c r="F111" s="8">
        <v>0</v>
      </c>
      <c r="G111" s="8">
        <f t="shared" si="15"/>
        <v>0</v>
      </c>
      <c r="H111" s="10">
        <v>0</v>
      </c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ht="12.75">
      <c r="A112" s="7">
        <v>561</v>
      </c>
      <c r="B112" s="5" t="s">
        <v>25</v>
      </c>
      <c r="C112" s="8">
        <v>0</v>
      </c>
      <c r="D112" s="8">
        <v>0</v>
      </c>
      <c r="E112" s="8">
        <v>0</v>
      </c>
      <c r="F112" s="8">
        <v>0</v>
      </c>
      <c r="G112" s="8">
        <f t="shared" si="15"/>
        <v>0</v>
      </c>
      <c r="H112" s="10">
        <v>0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ht="12.75">
      <c r="A113" s="7">
        <v>593</v>
      </c>
      <c r="B113" s="5" t="s">
        <v>26</v>
      </c>
      <c r="C113" s="8">
        <v>0</v>
      </c>
      <c r="D113" s="8">
        <v>0</v>
      </c>
      <c r="E113" s="8">
        <v>0</v>
      </c>
      <c r="F113" s="8">
        <v>0</v>
      </c>
      <c r="G113" s="8">
        <f t="shared" si="15"/>
        <v>0</v>
      </c>
      <c r="H113" s="10">
        <v>0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ht="12.75">
      <c r="A114" s="7">
        <v>566</v>
      </c>
      <c r="B114" s="5" t="s">
        <v>27</v>
      </c>
      <c r="C114" s="8">
        <v>0</v>
      </c>
      <c r="D114" s="8">
        <v>0</v>
      </c>
      <c r="E114" s="8">
        <v>0</v>
      </c>
      <c r="F114" s="8">
        <v>0</v>
      </c>
      <c r="G114" s="8">
        <f t="shared" si="15"/>
        <v>0</v>
      </c>
      <c r="H114" s="10">
        <v>0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ht="12.75">
      <c r="A115" s="7">
        <v>500</v>
      </c>
      <c r="B115" s="5" t="s">
        <v>28</v>
      </c>
      <c r="C115" s="8">
        <v>0</v>
      </c>
      <c r="D115" s="8">
        <v>0</v>
      </c>
      <c r="E115" s="8">
        <v>0</v>
      </c>
      <c r="F115" s="8">
        <v>0</v>
      </c>
      <c r="G115" s="8">
        <f t="shared" si="15"/>
        <v>0</v>
      </c>
      <c r="H115" s="10">
        <v>0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1:28" ht="12.75">
      <c r="A116" s="7">
        <v>600</v>
      </c>
      <c r="B116" s="5" t="s">
        <v>29</v>
      </c>
      <c r="C116" s="8">
        <v>0</v>
      </c>
      <c r="D116" s="8">
        <v>0</v>
      </c>
      <c r="E116" s="8">
        <v>0</v>
      </c>
      <c r="F116" s="8">
        <v>0</v>
      </c>
      <c r="G116" s="8">
        <f t="shared" si="15"/>
        <v>0</v>
      </c>
      <c r="H116" s="10">
        <v>0</v>
      </c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1:28" ht="12.75">
      <c r="A117" s="7">
        <v>700</v>
      </c>
      <c r="B117" s="5" t="s">
        <v>30</v>
      </c>
      <c r="C117" s="8">
        <v>0</v>
      </c>
      <c r="D117" s="8">
        <v>0</v>
      </c>
      <c r="E117" s="8">
        <v>0</v>
      </c>
      <c r="F117" s="8">
        <v>0</v>
      </c>
      <c r="G117" s="8">
        <f t="shared" si="15"/>
        <v>0</v>
      </c>
      <c r="H117" s="10">
        <v>0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1:28" ht="12.75">
      <c r="A118" s="7">
        <v>800</v>
      </c>
      <c r="B118" s="5" t="s">
        <v>31</v>
      </c>
      <c r="C118" s="8">
        <v>0</v>
      </c>
      <c r="D118" s="8">
        <v>0</v>
      </c>
      <c r="E118" s="8">
        <v>0</v>
      </c>
      <c r="F118" s="8">
        <v>0</v>
      </c>
      <c r="G118" s="8">
        <f t="shared" si="15"/>
        <v>0</v>
      </c>
      <c r="H118" s="10">
        <v>0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1:28" ht="12.75">
      <c r="A119" s="7">
        <v>900</v>
      </c>
      <c r="B119" s="5" t="s">
        <v>32</v>
      </c>
      <c r="C119" s="8">
        <v>0</v>
      </c>
      <c r="D119" s="8">
        <v>0</v>
      </c>
      <c r="E119" s="8">
        <v>0</v>
      </c>
      <c r="F119" s="8">
        <v>0</v>
      </c>
      <c r="G119" s="8">
        <f t="shared" si="15"/>
        <v>0</v>
      </c>
      <c r="H119" s="10">
        <v>0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ht="12.75">
      <c r="A120" s="5"/>
      <c r="B120" s="5"/>
      <c r="C120" s="8">
        <f>SUM(C108:C119)</f>
        <v>0</v>
      </c>
      <c r="D120" s="8">
        <v>0</v>
      </c>
      <c r="E120" s="8">
        <f aca="true" t="shared" si="16" ref="E120:G120">SUM(E108:E119)</f>
        <v>0</v>
      </c>
      <c r="F120" s="8">
        <f t="shared" si="16"/>
        <v>0</v>
      </c>
      <c r="G120" s="8">
        <f t="shared" si="16"/>
        <v>0</v>
      </c>
      <c r="H120" s="10">
        <v>0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ht="12.75">
      <c r="A121" s="2"/>
      <c r="B121" s="2"/>
      <c r="C121" s="2"/>
      <c r="D121" s="2"/>
      <c r="E121" s="2"/>
      <c r="F121" s="2"/>
      <c r="G121" s="2"/>
      <c r="H121" s="16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ht="12.75">
      <c r="A123" s="2"/>
      <c r="B123" s="2" t="s">
        <v>76</v>
      </c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ht="12.75">
      <c r="A124" s="5"/>
      <c r="B124" s="11" t="s">
        <v>16</v>
      </c>
      <c r="C124" s="12" t="s">
        <v>17</v>
      </c>
      <c r="D124" s="12" t="s">
        <v>18</v>
      </c>
      <c r="E124" s="12" t="s">
        <v>19</v>
      </c>
      <c r="F124" s="12" t="s">
        <v>20</v>
      </c>
      <c r="G124" s="11" t="s">
        <v>7</v>
      </c>
      <c r="H124" s="12" t="s">
        <v>21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ht="12.75">
      <c r="A125" s="5"/>
      <c r="B125" s="5"/>
      <c r="C125" s="5"/>
      <c r="D125" s="5"/>
      <c r="E125" s="5"/>
      <c r="F125" s="5"/>
      <c r="G125" s="5"/>
      <c r="H125" s="5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1:28" ht="12.75">
      <c r="A126" s="7">
        <v>100</v>
      </c>
      <c r="B126" s="5" t="s">
        <v>22</v>
      </c>
      <c r="C126" s="8">
        <v>0</v>
      </c>
      <c r="D126" s="8">
        <v>0</v>
      </c>
      <c r="E126" s="8">
        <v>0</v>
      </c>
      <c r="F126" s="8">
        <v>0</v>
      </c>
      <c r="G126" s="8">
        <f aca="true" t="shared" si="17" ref="G126:G137">F126-E126</f>
        <v>0</v>
      </c>
      <c r="H126" s="10">
        <v>0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ht="12.75">
      <c r="A127" s="7">
        <v>200</v>
      </c>
      <c r="B127" s="5" t="s">
        <v>10</v>
      </c>
      <c r="C127" s="8">
        <v>0</v>
      </c>
      <c r="D127" s="8">
        <v>0</v>
      </c>
      <c r="E127" s="8">
        <v>0</v>
      </c>
      <c r="F127" s="8">
        <v>0</v>
      </c>
      <c r="G127" s="8">
        <f t="shared" si="17"/>
        <v>0</v>
      </c>
      <c r="H127" s="10">
        <v>0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ht="12.75">
      <c r="A128" s="7">
        <v>300</v>
      </c>
      <c r="B128" s="5" t="s">
        <v>23</v>
      </c>
      <c r="C128" s="8">
        <v>5475.78</v>
      </c>
      <c r="D128" s="8">
        <v>11161.62</v>
      </c>
      <c r="E128" s="8">
        <v>10718.4</v>
      </c>
      <c r="F128" s="8">
        <v>11927.33</v>
      </c>
      <c r="G128" s="8">
        <f t="shared" si="17"/>
        <v>1208.9300000000003</v>
      </c>
      <c r="H128" s="10">
        <f>G128/E128</f>
        <v>0.11279015524705183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ht="12.75">
      <c r="A129" s="7">
        <v>400</v>
      </c>
      <c r="B129" s="5" t="s">
        <v>24</v>
      </c>
      <c r="C129" s="8">
        <v>0</v>
      </c>
      <c r="D129" s="8">
        <v>0</v>
      </c>
      <c r="E129" s="8">
        <v>0</v>
      </c>
      <c r="F129" s="8">
        <v>0</v>
      </c>
      <c r="G129" s="8">
        <f t="shared" si="17"/>
        <v>0</v>
      </c>
      <c r="H129" s="10">
        <v>0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ht="12.75">
      <c r="A130" s="7">
        <v>561</v>
      </c>
      <c r="B130" s="5" t="s">
        <v>25</v>
      </c>
      <c r="C130" s="8">
        <v>0</v>
      </c>
      <c r="D130" s="8">
        <v>0</v>
      </c>
      <c r="E130" s="8">
        <v>0</v>
      </c>
      <c r="F130" s="8">
        <v>0</v>
      </c>
      <c r="G130" s="8">
        <f t="shared" si="17"/>
        <v>0</v>
      </c>
      <c r="H130" s="10">
        <v>0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:28" ht="12.75">
      <c r="A131" s="7">
        <v>593</v>
      </c>
      <c r="B131" s="5" t="s">
        <v>26</v>
      </c>
      <c r="C131" s="8">
        <v>0</v>
      </c>
      <c r="D131" s="8">
        <v>0</v>
      </c>
      <c r="E131" s="8">
        <v>0</v>
      </c>
      <c r="F131" s="8">
        <v>0</v>
      </c>
      <c r="G131" s="8">
        <f t="shared" si="17"/>
        <v>0</v>
      </c>
      <c r="H131" s="10">
        <v>0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1:28" ht="12.75">
      <c r="A132" s="7">
        <v>566</v>
      </c>
      <c r="B132" s="5" t="s">
        <v>27</v>
      </c>
      <c r="C132" s="8">
        <v>0</v>
      </c>
      <c r="D132" s="8">
        <v>0</v>
      </c>
      <c r="E132" s="8">
        <v>0</v>
      </c>
      <c r="F132" s="8">
        <v>0</v>
      </c>
      <c r="G132" s="8">
        <f t="shared" si="17"/>
        <v>0</v>
      </c>
      <c r="H132" s="10">
        <v>0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1:28" ht="12.75">
      <c r="A133" s="7">
        <v>500</v>
      </c>
      <c r="B133" s="5" t="s">
        <v>28</v>
      </c>
      <c r="C133" s="8">
        <v>0</v>
      </c>
      <c r="D133" s="8">
        <v>0</v>
      </c>
      <c r="E133" s="8">
        <v>0</v>
      </c>
      <c r="F133" s="8">
        <v>0</v>
      </c>
      <c r="G133" s="8">
        <f t="shared" si="17"/>
        <v>0</v>
      </c>
      <c r="H133" s="10">
        <v>0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:28" ht="12.75">
      <c r="A134" s="7">
        <v>600</v>
      </c>
      <c r="B134" s="5" t="s">
        <v>29</v>
      </c>
      <c r="C134" s="8">
        <v>0</v>
      </c>
      <c r="D134" s="8">
        <v>0</v>
      </c>
      <c r="E134" s="8">
        <v>0</v>
      </c>
      <c r="F134" s="8">
        <v>0</v>
      </c>
      <c r="G134" s="8">
        <f t="shared" si="17"/>
        <v>0</v>
      </c>
      <c r="H134" s="10">
        <v>0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1:28" ht="12.75">
      <c r="A135" s="7">
        <v>700</v>
      </c>
      <c r="B135" s="5" t="s">
        <v>30</v>
      </c>
      <c r="C135" s="8">
        <v>0</v>
      </c>
      <c r="D135" s="8">
        <v>0</v>
      </c>
      <c r="E135" s="8">
        <v>0</v>
      </c>
      <c r="F135" s="8">
        <v>0</v>
      </c>
      <c r="G135" s="8">
        <f t="shared" si="17"/>
        <v>0</v>
      </c>
      <c r="H135" s="10">
        <v>0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1:28" ht="12.75">
      <c r="A136" s="7">
        <v>800</v>
      </c>
      <c r="B136" s="5" t="s">
        <v>31</v>
      </c>
      <c r="C136" s="8">
        <v>0</v>
      </c>
      <c r="D136" s="8">
        <v>0</v>
      </c>
      <c r="E136" s="8">
        <v>0</v>
      </c>
      <c r="F136" s="8">
        <v>0</v>
      </c>
      <c r="G136" s="8">
        <f t="shared" si="17"/>
        <v>0</v>
      </c>
      <c r="H136" s="10">
        <v>0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1:28" ht="12.75">
      <c r="A137" s="7">
        <v>900</v>
      </c>
      <c r="B137" s="5" t="s">
        <v>32</v>
      </c>
      <c r="C137" s="8">
        <v>0</v>
      </c>
      <c r="D137" s="8">
        <v>0</v>
      </c>
      <c r="E137" s="8">
        <v>0</v>
      </c>
      <c r="F137" s="8">
        <v>0</v>
      </c>
      <c r="G137" s="8">
        <f t="shared" si="17"/>
        <v>0</v>
      </c>
      <c r="H137" s="10">
        <v>0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:28" ht="12.75">
      <c r="A138" s="5"/>
      <c r="B138" s="5"/>
      <c r="C138" s="8">
        <f aca="true" t="shared" si="18" ref="C138:G138">SUM(C126:C137)</f>
        <v>5475.78</v>
      </c>
      <c r="D138" s="8">
        <f t="shared" si="18"/>
        <v>11161.62</v>
      </c>
      <c r="E138" s="8">
        <f t="shared" si="18"/>
        <v>10718.4</v>
      </c>
      <c r="F138" s="8">
        <f t="shared" si="18"/>
        <v>11927.33</v>
      </c>
      <c r="G138" s="8">
        <f t="shared" si="18"/>
        <v>1208.9300000000003</v>
      </c>
      <c r="H138" s="10">
        <f>G138/E138</f>
        <v>0.11279015524705183</v>
      </c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:28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1:28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1:28" ht="12.75">
      <c r="A141" s="2"/>
      <c r="B141" s="2" t="s">
        <v>78</v>
      </c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1:28" ht="12.75">
      <c r="A142" s="5"/>
      <c r="B142" s="11" t="s">
        <v>16</v>
      </c>
      <c r="C142" s="12" t="s">
        <v>17</v>
      </c>
      <c r="D142" s="12" t="s">
        <v>18</v>
      </c>
      <c r="E142" s="12" t="s">
        <v>19</v>
      </c>
      <c r="F142" s="12" t="s">
        <v>20</v>
      </c>
      <c r="G142" s="11" t="s">
        <v>7</v>
      </c>
      <c r="H142" s="12" t="s">
        <v>21</v>
      </c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1:28" ht="12.75">
      <c r="A143" s="5"/>
      <c r="B143" s="5"/>
      <c r="C143" s="5"/>
      <c r="D143" s="5"/>
      <c r="E143" s="5"/>
      <c r="F143" s="5"/>
      <c r="G143" s="5"/>
      <c r="H143" s="5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:28" ht="12.75">
      <c r="A144" s="7">
        <v>100</v>
      </c>
      <c r="B144" s="5" t="s">
        <v>22</v>
      </c>
      <c r="C144" s="8">
        <v>99985.6</v>
      </c>
      <c r="D144" s="8">
        <v>99985.6</v>
      </c>
      <c r="E144" s="8">
        <v>100370.16</v>
      </c>
      <c r="F144" s="8">
        <v>104385</v>
      </c>
      <c r="G144" s="8">
        <f aca="true" t="shared" si="19" ref="G144:G153">F144-E144</f>
        <v>4014.8399999999965</v>
      </c>
      <c r="H144" s="10">
        <f aca="true" t="shared" si="20" ref="H144:H147">G144/E144</f>
        <v>0.0400003347608492</v>
      </c>
      <c r="I144" s="2" t="s">
        <v>73</v>
      </c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:28" ht="12.75">
      <c r="A145" s="7">
        <v>200</v>
      </c>
      <c r="B145" s="5" t="s">
        <v>10</v>
      </c>
      <c r="C145" s="8">
        <v>42216.63</v>
      </c>
      <c r="D145" s="8">
        <v>49399.73</v>
      </c>
      <c r="E145" s="8">
        <v>52987.97</v>
      </c>
      <c r="F145" s="8">
        <v>50167.36</v>
      </c>
      <c r="G145" s="8">
        <f t="shared" si="19"/>
        <v>-2820.6100000000006</v>
      </c>
      <c r="H145" s="10">
        <f t="shared" si="20"/>
        <v>-0.05323113906798091</v>
      </c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:28" ht="12.75">
      <c r="A146" s="7">
        <v>300</v>
      </c>
      <c r="B146" s="5" t="s">
        <v>23</v>
      </c>
      <c r="C146" s="8">
        <v>33857.8</v>
      </c>
      <c r="D146" s="8">
        <v>52591.04</v>
      </c>
      <c r="E146" s="8">
        <v>64009.33</v>
      </c>
      <c r="F146" s="8">
        <v>72749.33</v>
      </c>
      <c r="G146" s="8">
        <f t="shared" si="19"/>
        <v>8740</v>
      </c>
      <c r="H146" s="10">
        <f t="shared" si="20"/>
        <v>0.1365425946498737</v>
      </c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 ht="12.75">
      <c r="A147" s="7">
        <v>400</v>
      </c>
      <c r="B147" s="5" t="s">
        <v>79</v>
      </c>
      <c r="C147" s="8">
        <v>114775.67</v>
      </c>
      <c r="D147" s="2">
        <v>134133.51</v>
      </c>
      <c r="E147" s="8">
        <v>144620</v>
      </c>
      <c r="F147" s="8">
        <v>154620</v>
      </c>
      <c r="G147" s="8">
        <f t="shared" si="19"/>
        <v>10000</v>
      </c>
      <c r="H147" s="10">
        <f t="shared" si="20"/>
        <v>0.06914672935970129</v>
      </c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:28" ht="12.75">
      <c r="A148" s="7">
        <v>561</v>
      </c>
      <c r="B148" s="5" t="s">
        <v>25</v>
      </c>
      <c r="C148" s="8">
        <v>0</v>
      </c>
      <c r="D148" s="8">
        <v>0</v>
      </c>
      <c r="E148" s="8">
        <v>0</v>
      </c>
      <c r="F148" s="8">
        <v>0</v>
      </c>
      <c r="G148" s="8">
        <f t="shared" si="19"/>
        <v>0</v>
      </c>
      <c r="H148" s="10">
        <v>0</v>
      </c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:28" ht="12.75">
      <c r="A149" s="7">
        <v>593</v>
      </c>
      <c r="B149" s="5" t="s">
        <v>26</v>
      </c>
      <c r="C149" s="8">
        <v>0</v>
      </c>
      <c r="D149" s="8">
        <v>0</v>
      </c>
      <c r="E149" s="8">
        <v>0</v>
      </c>
      <c r="F149" s="8">
        <v>0</v>
      </c>
      <c r="G149" s="8">
        <f t="shared" si="19"/>
        <v>0</v>
      </c>
      <c r="H149" s="10">
        <v>0</v>
      </c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 ht="12.75">
      <c r="A150" s="7">
        <v>566</v>
      </c>
      <c r="B150" s="5" t="s">
        <v>27</v>
      </c>
      <c r="C150" s="8">
        <v>0</v>
      </c>
      <c r="D150" s="8">
        <v>0</v>
      </c>
      <c r="E150" s="8">
        <v>0</v>
      </c>
      <c r="F150" s="8">
        <v>0</v>
      </c>
      <c r="G150" s="8">
        <f t="shared" si="19"/>
        <v>0</v>
      </c>
      <c r="H150" s="10">
        <v>0</v>
      </c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 ht="12.75">
      <c r="A151" s="7">
        <v>500</v>
      </c>
      <c r="B151" s="5" t="s">
        <v>28</v>
      </c>
      <c r="C151" s="8">
        <v>714.12</v>
      </c>
      <c r="D151" s="8">
        <v>1032.85</v>
      </c>
      <c r="E151" s="8">
        <v>1000</v>
      </c>
      <c r="F151" s="8">
        <v>1000</v>
      </c>
      <c r="G151" s="8">
        <f t="shared" si="19"/>
        <v>0</v>
      </c>
      <c r="H151" s="10">
        <f aca="true" t="shared" si="21" ref="H151:H153">G151/E151</f>
        <v>0</v>
      </c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 ht="12.75">
      <c r="A152" s="7">
        <v>600</v>
      </c>
      <c r="B152" s="5" t="s">
        <v>29</v>
      </c>
      <c r="C152" s="8">
        <v>26867.44</v>
      </c>
      <c r="D152" s="8">
        <v>7666.88</v>
      </c>
      <c r="E152" s="8">
        <v>15400</v>
      </c>
      <c r="F152" s="8">
        <v>15400</v>
      </c>
      <c r="G152" s="8">
        <f t="shared" si="19"/>
        <v>0</v>
      </c>
      <c r="H152" s="10">
        <f t="shared" si="21"/>
        <v>0</v>
      </c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:28" ht="12.75">
      <c r="A153" s="7">
        <v>700</v>
      </c>
      <c r="B153" s="5" t="s">
        <v>30</v>
      </c>
      <c r="C153" s="8">
        <v>35764.54</v>
      </c>
      <c r="D153" s="8">
        <v>47355.58</v>
      </c>
      <c r="E153" s="8">
        <v>34400</v>
      </c>
      <c r="F153" s="8">
        <v>52000</v>
      </c>
      <c r="G153" s="8">
        <f t="shared" si="19"/>
        <v>17600</v>
      </c>
      <c r="H153" s="10">
        <f t="shared" si="21"/>
        <v>0.5116279069767442</v>
      </c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:28" ht="12.75">
      <c r="A154" s="7">
        <v>800</v>
      </c>
      <c r="B154" s="5" t="s">
        <v>31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10">
        <v>0</v>
      </c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:28" ht="12.75">
      <c r="A155" s="7">
        <v>900</v>
      </c>
      <c r="B155" s="5" t="s">
        <v>32</v>
      </c>
      <c r="C155" s="8">
        <v>0</v>
      </c>
      <c r="D155" s="8">
        <v>0</v>
      </c>
      <c r="E155" s="8">
        <v>0</v>
      </c>
      <c r="F155" s="8">
        <v>0</v>
      </c>
      <c r="G155" s="8">
        <f>F155-E155</f>
        <v>0</v>
      </c>
      <c r="H155" s="10">
        <v>0</v>
      </c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:28" ht="12.75">
      <c r="A156" s="5"/>
      <c r="B156" s="5"/>
      <c r="C156" s="8">
        <f aca="true" t="shared" si="22" ref="C156:G156">SUM(C144:C155)</f>
        <v>354181.8</v>
      </c>
      <c r="D156" s="8">
        <f t="shared" si="22"/>
        <v>392165.19000000006</v>
      </c>
      <c r="E156" s="8">
        <f t="shared" si="22"/>
        <v>412787.45999999996</v>
      </c>
      <c r="F156" s="8">
        <f t="shared" si="22"/>
        <v>450321.69</v>
      </c>
      <c r="G156" s="8">
        <f t="shared" si="22"/>
        <v>37534.229999999996</v>
      </c>
      <c r="H156" s="10">
        <f>G156/E156</f>
        <v>0.09092870699124435</v>
      </c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:28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:28" ht="12.75">
      <c r="A159" s="2"/>
      <c r="B159" s="2" t="s">
        <v>80</v>
      </c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 ht="12.75">
      <c r="A160" s="5"/>
      <c r="B160" s="11" t="s">
        <v>16</v>
      </c>
      <c r="C160" s="12" t="s">
        <v>17</v>
      </c>
      <c r="D160" s="12" t="s">
        <v>18</v>
      </c>
      <c r="E160" s="12" t="s">
        <v>19</v>
      </c>
      <c r="F160" s="12" t="s">
        <v>20</v>
      </c>
      <c r="G160" s="11" t="s">
        <v>7</v>
      </c>
      <c r="H160" s="12" t="s">
        <v>21</v>
      </c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:28" ht="12.75">
      <c r="A161" s="5"/>
      <c r="B161" s="5"/>
      <c r="C161" s="5"/>
      <c r="D161" s="5"/>
      <c r="E161" s="5"/>
      <c r="F161" s="5"/>
      <c r="G161" s="5"/>
      <c r="H161" s="5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:28" ht="12.75">
      <c r="A162" s="7">
        <v>100</v>
      </c>
      <c r="B162" s="5" t="s">
        <v>22</v>
      </c>
      <c r="C162" s="8">
        <v>0</v>
      </c>
      <c r="D162" s="8">
        <v>0</v>
      </c>
      <c r="E162" s="8">
        <v>0</v>
      </c>
      <c r="F162" s="8">
        <v>0</v>
      </c>
      <c r="G162" s="8">
        <f aca="true" t="shared" si="23" ref="G162:G173">F162-E162</f>
        <v>0</v>
      </c>
      <c r="H162" s="10">
        <v>0</v>
      </c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:28" ht="12.75">
      <c r="A163" s="7">
        <v>200</v>
      </c>
      <c r="B163" s="5" t="s">
        <v>10</v>
      </c>
      <c r="C163" s="8">
        <v>0</v>
      </c>
      <c r="D163" s="8">
        <v>0</v>
      </c>
      <c r="E163" s="8">
        <v>0</v>
      </c>
      <c r="F163" s="8">
        <v>0</v>
      </c>
      <c r="G163" s="8">
        <f t="shared" si="23"/>
        <v>0</v>
      </c>
      <c r="H163" s="10">
        <v>0</v>
      </c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:28" ht="12.75">
      <c r="A164" s="7">
        <v>300</v>
      </c>
      <c r="B164" s="5" t="s">
        <v>23</v>
      </c>
      <c r="C164" s="8">
        <v>0</v>
      </c>
      <c r="D164" s="8">
        <v>0</v>
      </c>
      <c r="E164" s="8">
        <v>0</v>
      </c>
      <c r="F164" s="8">
        <v>0</v>
      </c>
      <c r="G164" s="8">
        <f t="shared" si="23"/>
        <v>0</v>
      </c>
      <c r="H164" s="10">
        <v>0</v>
      </c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:28" ht="12.75">
      <c r="A165" s="7">
        <v>400</v>
      </c>
      <c r="B165" s="5" t="s">
        <v>24</v>
      </c>
      <c r="C165" s="8">
        <v>0</v>
      </c>
      <c r="D165" s="8">
        <v>0</v>
      </c>
      <c r="E165" s="8">
        <v>0</v>
      </c>
      <c r="F165" s="8">
        <v>0</v>
      </c>
      <c r="G165" s="8">
        <f t="shared" si="23"/>
        <v>0</v>
      </c>
      <c r="H165" s="10">
        <v>0</v>
      </c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:28" ht="12.75">
      <c r="A166" s="7">
        <v>561</v>
      </c>
      <c r="B166" s="5" t="s">
        <v>25</v>
      </c>
      <c r="C166" s="8">
        <v>0</v>
      </c>
      <c r="D166" s="8">
        <v>0</v>
      </c>
      <c r="E166" s="8">
        <v>0</v>
      </c>
      <c r="F166" s="8">
        <v>0</v>
      </c>
      <c r="G166" s="8">
        <f t="shared" si="23"/>
        <v>0</v>
      </c>
      <c r="H166" s="10">
        <v>0</v>
      </c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1:28" ht="12.75">
      <c r="A167" s="7">
        <v>593</v>
      </c>
      <c r="B167" s="5" t="s">
        <v>26</v>
      </c>
      <c r="C167" s="8">
        <v>0</v>
      </c>
      <c r="D167" s="8">
        <v>0</v>
      </c>
      <c r="E167" s="8">
        <v>0</v>
      </c>
      <c r="F167" s="8">
        <v>0</v>
      </c>
      <c r="G167" s="8">
        <f t="shared" si="23"/>
        <v>0</v>
      </c>
      <c r="H167" s="10">
        <v>0</v>
      </c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1:28" ht="12.75">
      <c r="A168" s="7">
        <v>566</v>
      </c>
      <c r="B168" s="5" t="s">
        <v>27</v>
      </c>
      <c r="C168" s="8">
        <v>0</v>
      </c>
      <c r="D168" s="8">
        <v>0</v>
      </c>
      <c r="E168" s="8">
        <v>0</v>
      </c>
      <c r="F168" s="8">
        <v>0</v>
      </c>
      <c r="G168" s="8">
        <f t="shared" si="23"/>
        <v>0</v>
      </c>
      <c r="H168" s="10">
        <v>0</v>
      </c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1:28" ht="12.75">
      <c r="A169" s="7">
        <v>500</v>
      </c>
      <c r="B169" s="5" t="s">
        <v>28</v>
      </c>
      <c r="C169" s="8">
        <v>80277.38</v>
      </c>
      <c r="D169" s="8">
        <v>89497</v>
      </c>
      <c r="E169" s="8">
        <v>91000</v>
      </c>
      <c r="F169" s="8">
        <v>91000</v>
      </c>
      <c r="G169" s="8">
        <f t="shared" si="23"/>
        <v>0</v>
      </c>
      <c r="H169" s="10">
        <f>G169/E169</f>
        <v>0</v>
      </c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:28" ht="12.75">
      <c r="A170" s="7">
        <v>600</v>
      </c>
      <c r="B170" s="5" t="s">
        <v>29</v>
      </c>
      <c r="C170" s="8">
        <v>0</v>
      </c>
      <c r="D170" s="8">
        <v>0</v>
      </c>
      <c r="E170" s="8">
        <v>0</v>
      </c>
      <c r="F170" s="8">
        <v>0</v>
      </c>
      <c r="G170" s="8">
        <f t="shared" si="23"/>
        <v>0</v>
      </c>
      <c r="H170" s="10">
        <v>0</v>
      </c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1:28" ht="12.75">
      <c r="A171" s="7">
        <v>700</v>
      </c>
      <c r="B171" s="5" t="s">
        <v>30</v>
      </c>
      <c r="C171" s="8">
        <v>0</v>
      </c>
      <c r="D171" s="8">
        <v>0</v>
      </c>
      <c r="E171" s="8">
        <v>0</v>
      </c>
      <c r="F171" s="8">
        <v>0</v>
      </c>
      <c r="G171" s="8">
        <f t="shared" si="23"/>
        <v>0</v>
      </c>
      <c r="H171" s="10">
        <v>0</v>
      </c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:28" ht="12.75">
      <c r="A172" s="7">
        <v>800</v>
      </c>
      <c r="B172" s="5" t="s">
        <v>31</v>
      </c>
      <c r="C172" s="8">
        <v>0</v>
      </c>
      <c r="D172" s="8">
        <v>0</v>
      </c>
      <c r="E172" s="8">
        <v>0</v>
      </c>
      <c r="F172" s="8">
        <v>0</v>
      </c>
      <c r="G172" s="8">
        <f t="shared" si="23"/>
        <v>0</v>
      </c>
      <c r="H172" s="10">
        <v>0</v>
      </c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:28" ht="12.75">
      <c r="A173" s="7">
        <v>900</v>
      </c>
      <c r="B173" s="5" t="s">
        <v>32</v>
      </c>
      <c r="C173" s="8">
        <v>0</v>
      </c>
      <c r="D173" s="8">
        <v>40000</v>
      </c>
      <c r="E173" s="8">
        <v>40000</v>
      </c>
      <c r="F173" s="8">
        <v>40000</v>
      </c>
      <c r="G173" s="8">
        <f t="shared" si="23"/>
        <v>0</v>
      </c>
      <c r="H173" s="10">
        <v>0</v>
      </c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:28" ht="12.75">
      <c r="A174" s="5"/>
      <c r="B174" s="5"/>
      <c r="C174" s="8">
        <f aca="true" t="shared" si="24" ref="C174:G174">SUM(C162:C173)</f>
        <v>80277.38</v>
      </c>
      <c r="D174" s="8">
        <f t="shared" si="24"/>
        <v>129497</v>
      </c>
      <c r="E174" s="8">
        <f t="shared" si="24"/>
        <v>131000</v>
      </c>
      <c r="F174" s="8">
        <f t="shared" si="24"/>
        <v>131000</v>
      </c>
      <c r="G174" s="8">
        <f t="shared" si="24"/>
        <v>0</v>
      </c>
      <c r="H174" s="10">
        <f>G174/E174</f>
        <v>0</v>
      </c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:28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1:28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1:28" ht="12.75">
      <c r="A177" s="2"/>
      <c r="B177" s="2" t="s">
        <v>82</v>
      </c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1:28" ht="12.75">
      <c r="A178" s="5"/>
      <c r="B178" s="11" t="s">
        <v>16</v>
      </c>
      <c r="C178" s="12" t="s">
        <v>17</v>
      </c>
      <c r="D178" s="12" t="s">
        <v>18</v>
      </c>
      <c r="E178" s="12" t="s">
        <v>19</v>
      </c>
      <c r="F178" s="12" t="s">
        <v>20</v>
      </c>
      <c r="G178" s="11" t="s">
        <v>7</v>
      </c>
      <c r="H178" s="12" t="s">
        <v>21</v>
      </c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1:28" ht="12.75">
      <c r="A179" s="5"/>
      <c r="B179" s="5"/>
      <c r="C179" s="5"/>
      <c r="D179" s="5"/>
      <c r="E179" s="5"/>
      <c r="F179" s="5"/>
      <c r="G179" s="5"/>
      <c r="H179" s="5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1:28" ht="12.75">
      <c r="A180" s="7">
        <v>100</v>
      </c>
      <c r="B180" s="5" t="s">
        <v>22</v>
      </c>
      <c r="C180" s="8">
        <v>0</v>
      </c>
      <c r="D180" s="8">
        <v>0</v>
      </c>
      <c r="E180" s="8">
        <v>0</v>
      </c>
      <c r="F180" s="8">
        <v>0</v>
      </c>
      <c r="G180" s="8">
        <f aca="true" t="shared" si="25" ref="G180:G191">F180-E180</f>
        <v>0</v>
      </c>
      <c r="H180" s="10">
        <v>0</v>
      </c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1:28" ht="12.75">
      <c r="A181" s="7">
        <v>200</v>
      </c>
      <c r="B181" s="5" t="s">
        <v>10</v>
      </c>
      <c r="C181" s="8">
        <v>0</v>
      </c>
      <c r="D181" s="8">
        <v>0</v>
      </c>
      <c r="E181" s="8">
        <v>0</v>
      </c>
      <c r="F181" s="8">
        <v>0</v>
      </c>
      <c r="G181" s="8">
        <f t="shared" si="25"/>
        <v>0</v>
      </c>
      <c r="H181" s="10">
        <v>0</v>
      </c>
      <c r="I181" s="2" t="s">
        <v>3</v>
      </c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1:28" ht="12.75">
      <c r="A182" s="7">
        <v>300</v>
      </c>
      <c r="B182" s="5" t="s">
        <v>23</v>
      </c>
      <c r="C182" s="8">
        <v>0</v>
      </c>
      <c r="D182" s="8">
        <v>0</v>
      </c>
      <c r="E182" s="8">
        <v>0</v>
      </c>
      <c r="F182" s="8">
        <v>0</v>
      </c>
      <c r="G182" s="8">
        <f t="shared" si="25"/>
        <v>0</v>
      </c>
      <c r="H182" s="10">
        <v>0</v>
      </c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1:28" ht="12.75">
      <c r="A183" s="7">
        <v>400</v>
      </c>
      <c r="B183" s="5" t="s">
        <v>24</v>
      </c>
      <c r="C183" s="8">
        <v>0</v>
      </c>
      <c r="D183" s="8">
        <v>0</v>
      </c>
      <c r="E183" s="8">
        <v>0</v>
      </c>
      <c r="F183" s="8">
        <v>0</v>
      </c>
      <c r="G183" s="8">
        <f t="shared" si="25"/>
        <v>0</v>
      </c>
      <c r="H183" s="10">
        <v>0</v>
      </c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1:28" ht="12.75">
      <c r="A184" s="7">
        <v>561</v>
      </c>
      <c r="B184" s="5" t="s">
        <v>25</v>
      </c>
      <c r="C184" s="8">
        <v>0</v>
      </c>
      <c r="D184" s="8">
        <v>0</v>
      </c>
      <c r="E184" s="8">
        <v>0</v>
      </c>
      <c r="F184" s="8">
        <v>0</v>
      </c>
      <c r="G184" s="8">
        <f t="shared" si="25"/>
        <v>0</v>
      </c>
      <c r="H184" s="10">
        <v>0</v>
      </c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 ht="12.75">
      <c r="A185" s="7">
        <v>593</v>
      </c>
      <c r="B185" s="5" t="s">
        <v>26</v>
      </c>
      <c r="C185" s="8">
        <v>1128713.43</v>
      </c>
      <c r="D185" s="8">
        <v>1048390</v>
      </c>
      <c r="E185" s="8">
        <f>1138429.9+90983.66-19105.13</f>
        <v>1210308.43</v>
      </c>
      <c r="F185" s="8">
        <f>1231341+87410</f>
        <v>1318751</v>
      </c>
      <c r="G185" s="8">
        <f t="shared" si="25"/>
        <v>108442.57000000007</v>
      </c>
      <c r="H185" s="10">
        <f>G185/E185</f>
        <v>0.08959911978800318</v>
      </c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:28" ht="12.75">
      <c r="A186" s="7">
        <v>566</v>
      </c>
      <c r="B186" s="5" t="s">
        <v>27</v>
      </c>
      <c r="C186" s="8">
        <v>0</v>
      </c>
      <c r="D186" s="8">
        <v>0</v>
      </c>
      <c r="E186" s="8">
        <v>0</v>
      </c>
      <c r="F186" s="8">
        <v>0</v>
      </c>
      <c r="G186" s="8">
        <f t="shared" si="25"/>
        <v>0</v>
      </c>
      <c r="H186" s="10">
        <v>0</v>
      </c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ht="12.75">
      <c r="A187" s="7">
        <v>500</v>
      </c>
      <c r="B187" s="5" t="s">
        <v>28</v>
      </c>
      <c r="C187" s="8">
        <v>0</v>
      </c>
      <c r="D187" s="8">
        <v>0</v>
      </c>
      <c r="E187" s="8">
        <v>0</v>
      </c>
      <c r="F187" s="8">
        <v>0</v>
      </c>
      <c r="G187" s="8">
        <f t="shared" si="25"/>
        <v>0</v>
      </c>
      <c r="H187" s="10">
        <v>0</v>
      </c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ht="12.75">
      <c r="A188" s="7">
        <v>600</v>
      </c>
      <c r="B188" s="5" t="s">
        <v>29</v>
      </c>
      <c r="C188" s="8">
        <v>0</v>
      </c>
      <c r="D188" s="8">
        <v>0</v>
      </c>
      <c r="E188" s="8">
        <v>0</v>
      </c>
      <c r="F188" s="8">
        <v>0</v>
      </c>
      <c r="G188" s="8">
        <f t="shared" si="25"/>
        <v>0</v>
      </c>
      <c r="H188" s="10">
        <v>0</v>
      </c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ht="12.75">
      <c r="A189" s="7">
        <v>700</v>
      </c>
      <c r="B189" s="5" t="s">
        <v>30</v>
      </c>
      <c r="C189" s="8">
        <v>0</v>
      </c>
      <c r="D189" s="8">
        <v>0</v>
      </c>
      <c r="E189" s="8">
        <v>0</v>
      </c>
      <c r="F189" s="8">
        <v>0</v>
      </c>
      <c r="G189" s="8">
        <f t="shared" si="25"/>
        <v>0</v>
      </c>
      <c r="H189" s="10">
        <v>0</v>
      </c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 ht="12.75">
      <c r="A190" s="7">
        <v>800</v>
      </c>
      <c r="B190" s="5" t="s">
        <v>31</v>
      </c>
      <c r="C190" s="8">
        <v>0</v>
      </c>
      <c r="D190" s="8">
        <v>0</v>
      </c>
      <c r="E190" s="8">
        <v>0</v>
      </c>
      <c r="F190" s="8">
        <v>0</v>
      </c>
      <c r="G190" s="8">
        <f t="shared" si="25"/>
        <v>0</v>
      </c>
      <c r="H190" s="10">
        <v>0</v>
      </c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ht="12.75">
      <c r="A191" s="7">
        <v>900</v>
      </c>
      <c r="B191" s="5" t="s">
        <v>32</v>
      </c>
      <c r="C191" s="8">
        <v>0</v>
      </c>
      <c r="D191" s="8">
        <v>0</v>
      </c>
      <c r="E191" s="8">
        <v>0</v>
      </c>
      <c r="F191" s="8">
        <v>0</v>
      </c>
      <c r="G191" s="8">
        <f t="shared" si="25"/>
        <v>0</v>
      </c>
      <c r="H191" s="10">
        <v>0</v>
      </c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ht="12.75">
      <c r="A192" s="5"/>
      <c r="B192" s="5"/>
      <c r="C192" s="8">
        <f aca="true" t="shared" si="26" ref="C192:G192">SUM(C180:C191)</f>
        <v>1128713.43</v>
      </c>
      <c r="D192" s="8">
        <f t="shared" si="26"/>
        <v>1048390</v>
      </c>
      <c r="E192" s="8">
        <f t="shared" si="26"/>
        <v>1210308.43</v>
      </c>
      <c r="F192" s="8">
        <f t="shared" si="26"/>
        <v>1318751</v>
      </c>
      <c r="G192" s="8">
        <f t="shared" si="26"/>
        <v>108442.57000000007</v>
      </c>
      <c r="H192" s="10">
        <f>G192/E192</f>
        <v>0.08959911978800318</v>
      </c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 ht="12.75">
      <c r="A195" s="2"/>
      <c r="B195" s="2" t="s">
        <v>84</v>
      </c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 ht="12.75">
      <c r="A196" s="5"/>
      <c r="B196" s="11" t="s">
        <v>16</v>
      </c>
      <c r="C196" s="12" t="s">
        <v>17</v>
      </c>
      <c r="D196" s="12" t="s">
        <v>18</v>
      </c>
      <c r="E196" s="12" t="s">
        <v>19</v>
      </c>
      <c r="F196" s="12" t="s">
        <v>20</v>
      </c>
      <c r="G196" s="11" t="s">
        <v>7</v>
      </c>
      <c r="H196" s="12" t="s">
        <v>21</v>
      </c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 ht="12.75">
      <c r="A197" s="5"/>
      <c r="B197" s="5"/>
      <c r="C197" s="5"/>
      <c r="D197" s="5"/>
      <c r="E197" s="5"/>
      <c r="F197" s="5"/>
      <c r="G197" s="5"/>
      <c r="H197" s="5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1:28" ht="12.75">
      <c r="A198" s="7">
        <v>100</v>
      </c>
      <c r="B198" s="5" t="s">
        <v>22</v>
      </c>
      <c r="C198" s="8">
        <v>0</v>
      </c>
      <c r="D198" s="8">
        <v>0</v>
      </c>
      <c r="E198" s="8">
        <v>0</v>
      </c>
      <c r="F198" s="8">
        <v>0</v>
      </c>
      <c r="G198" s="8">
        <f aca="true" t="shared" si="27" ref="G198:G209">F198-E198</f>
        <v>0</v>
      </c>
      <c r="H198" s="10">
        <v>0</v>
      </c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 ht="12.75">
      <c r="A199" s="7">
        <v>200</v>
      </c>
      <c r="B199" s="5" t="s">
        <v>10</v>
      </c>
      <c r="C199" s="8">
        <v>0</v>
      </c>
      <c r="D199" s="8">
        <v>0</v>
      </c>
      <c r="E199" s="8">
        <v>0</v>
      </c>
      <c r="F199" s="8">
        <v>0</v>
      </c>
      <c r="G199" s="8">
        <f t="shared" si="27"/>
        <v>0</v>
      </c>
      <c r="H199" s="10">
        <v>0</v>
      </c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 ht="12.75">
      <c r="A200" s="7">
        <v>300</v>
      </c>
      <c r="B200" s="5" t="s">
        <v>23</v>
      </c>
      <c r="C200" s="8">
        <v>0</v>
      </c>
      <c r="D200" s="8">
        <v>0</v>
      </c>
      <c r="E200" s="8">
        <v>0</v>
      </c>
      <c r="F200" s="8">
        <v>0</v>
      </c>
      <c r="G200" s="8">
        <f t="shared" si="27"/>
        <v>0</v>
      </c>
      <c r="H200" s="10">
        <v>0</v>
      </c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 ht="12.75">
      <c r="A201" s="7">
        <v>400</v>
      </c>
      <c r="B201" s="5" t="s">
        <v>24</v>
      </c>
      <c r="C201" s="8">
        <v>0</v>
      </c>
      <c r="D201" s="8">
        <v>0</v>
      </c>
      <c r="E201" s="8">
        <v>0</v>
      </c>
      <c r="F201" s="8">
        <v>0</v>
      </c>
      <c r="G201" s="8">
        <f t="shared" si="27"/>
        <v>0</v>
      </c>
      <c r="H201" s="10">
        <v>0</v>
      </c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 ht="12.75">
      <c r="A202" s="7">
        <v>561</v>
      </c>
      <c r="B202" s="5" t="s">
        <v>25</v>
      </c>
      <c r="C202" s="8">
        <v>0</v>
      </c>
      <c r="D202" s="8">
        <v>0</v>
      </c>
      <c r="E202" s="8">
        <v>0</v>
      </c>
      <c r="F202" s="8">
        <v>0</v>
      </c>
      <c r="G202" s="8">
        <f t="shared" si="27"/>
        <v>0</v>
      </c>
      <c r="H202" s="10">
        <v>0</v>
      </c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 ht="12.75">
      <c r="A203" s="7">
        <v>593</v>
      </c>
      <c r="B203" s="5" t="s">
        <v>26</v>
      </c>
      <c r="C203" s="8">
        <v>54316.89</v>
      </c>
      <c r="D203" s="8">
        <v>33254.06</v>
      </c>
      <c r="E203" s="8">
        <v>62741</v>
      </c>
      <c r="F203" s="8">
        <v>59340</v>
      </c>
      <c r="G203" s="8">
        <f t="shared" si="27"/>
        <v>-3401</v>
      </c>
      <c r="H203" s="10">
        <v>0</v>
      </c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ht="12.75">
      <c r="A204" s="7">
        <v>566</v>
      </c>
      <c r="B204" s="5" t="s">
        <v>27</v>
      </c>
      <c r="C204" s="8">
        <v>0</v>
      </c>
      <c r="D204" s="8">
        <v>0</v>
      </c>
      <c r="E204" s="8">
        <v>0</v>
      </c>
      <c r="F204" s="8">
        <v>0</v>
      </c>
      <c r="G204" s="8">
        <f t="shared" si="27"/>
        <v>0</v>
      </c>
      <c r="H204" s="10">
        <v>0</v>
      </c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 ht="12.75">
      <c r="A205" s="7">
        <v>500</v>
      </c>
      <c r="B205" s="5" t="s">
        <v>28</v>
      </c>
      <c r="C205" s="8">
        <v>0</v>
      </c>
      <c r="D205" s="8">
        <v>0</v>
      </c>
      <c r="E205" s="8">
        <v>0</v>
      </c>
      <c r="F205" s="8">
        <v>0</v>
      </c>
      <c r="G205" s="8">
        <f t="shared" si="27"/>
        <v>0</v>
      </c>
      <c r="H205" s="10">
        <v>0</v>
      </c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 ht="12.75">
      <c r="A206" s="7">
        <v>600</v>
      </c>
      <c r="B206" s="5" t="s">
        <v>29</v>
      </c>
      <c r="C206" s="8">
        <v>0</v>
      </c>
      <c r="D206" s="8">
        <v>0</v>
      </c>
      <c r="E206" s="8">
        <v>0</v>
      </c>
      <c r="F206" s="8">
        <v>0</v>
      </c>
      <c r="G206" s="8">
        <f t="shared" si="27"/>
        <v>0</v>
      </c>
      <c r="H206" s="10">
        <v>0</v>
      </c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 ht="12.75">
      <c r="A207" s="7">
        <v>700</v>
      </c>
      <c r="B207" s="5" t="s">
        <v>30</v>
      </c>
      <c r="C207" s="8">
        <v>0</v>
      </c>
      <c r="D207" s="8">
        <v>0</v>
      </c>
      <c r="E207" s="8">
        <v>0</v>
      </c>
      <c r="F207" s="8">
        <v>0</v>
      </c>
      <c r="G207" s="8">
        <f t="shared" si="27"/>
        <v>0</v>
      </c>
      <c r="H207" s="10">
        <v>0</v>
      </c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 ht="12.75">
      <c r="A208" s="7">
        <v>800</v>
      </c>
      <c r="B208" s="5" t="s">
        <v>31</v>
      </c>
      <c r="C208" s="8">
        <v>0</v>
      </c>
      <c r="D208" s="8">
        <v>0</v>
      </c>
      <c r="E208" s="8">
        <v>0</v>
      </c>
      <c r="F208" s="8">
        <v>0</v>
      </c>
      <c r="G208" s="8">
        <f t="shared" si="27"/>
        <v>0</v>
      </c>
      <c r="H208" s="10">
        <v>0</v>
      </c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 ht="12.75">
      <c r="A209" s="7">
        <v>900</v>
      </c>
      <c r="B209" s="5" t="s">
        <v>32</v>
      </c>
      <c r="C209" s="8">
        <v>0</v>
      </c>
      <c r="D209" s="8">
        <v>0</v>
      </c>
      <c r="E209" s="8">
        <v>0</v>
      </c>
      <c r="F209" s="8">
        <v>0</v>
      </c>
      <c r="G209" s="8">
        <f t="shared" si="27"/>
        <v>0</v>
      </c>
      <c r="H209" s="10">
        <v>0</v>
      </c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 ht="12.75">
      <c r="A210" s="5"/>
      <c r="B210" s="5"/>
      <c r="C210" s="8">
        <f aca="true" t="shared" si="28" ref="C210:G210">SUM(C198:C209)</f>
        <v>54316.89</v>
      </c>
      <c r="D210" s="8">
        <f t="shared" si="28"/>
        <v>33254.06</v>
      </c>
      <c r="E210" s="8">
        <f t="shared" si="28"/>
        <v>62741</v>
      </c>
      <c r="F210" s="8">
        <f t="shared" si="28"/>
        <v>59340</v>
      </c>
      <c r="G210" s="8">
        <f t="shared" si="28"/>
        <v>-3401</v>
      </c>
      <c r="H210" s="10">
        <f>G210/E210</f>
        <v>-0.05420697789324365</v>
      </c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1:28" ht="12.75">
      <c r="A213" s="2"/>
      <c r="B213" s="2" t="s">
        <v>85</v>
      </c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1:28" ht="12.75">
      <c r="A214" s="5"/>
      <c r="B214" s="11" t="s">
        <v>16</v>
      </c>
      <c r="C214" s="12" t="s">
        <v>17</v>
      </c>
      <c r="D214" s="12" t="s">
        <v>18</v>
      </c>
      <c r="E214" s="12" t="s">
        <v>19</v>
      </c>
      <c r="F214" s="12" t="s">
        <v>20</v>
      </c>
      <c r="G214" s="11" t="s">
        <v>7</v>
      </c>
      <c r="H214" s="12" t="s">
        <v>21</v>
      </c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1:28" ht="12.75">
      <c r="A215" s="5"/>
      <c r="B215" s="5"/>
      <c r="C215" s="5"/>
      <c r="D215" s="5"/>
      <c r="E215" s="5"/>
      <c r="F215" s="5"/>
      <c r="G215" s="5"/>
      <c r="H215" s="5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1:28" ht="12.75">
      <c r="A216" s="7">
        <v>100</v>
      </c>
      <c r="B216" s="5" t="s">
        <v>22</v>
      </c>
      <c r="C216" s="8">
        <f>4350+11212.88</f>
        <v>15562.88</v>
      </c>
      <c r="D216" s="8">
        <v>14187.5</v>
      </c>
      <c r="E216" s="8">
        <f aca="true" t="shared" si="29" ref="E216:F216">7200+6000</f>
        <v>13200</v>
      </c>
      <c r="F216" s="8">
        <f t="shared" si="29"/>
        <v>13200</v>
      </c>
      <c r="G216" s="8">
        <f aca="true" t="shared" si="30" ref="G216:G227">F216-E216</f>
        <v>0</v>
      </c>
      <c r="H216" s="10">
        <v>0</v>
      </c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1:28" ht="12.75">
      <c r="A217" s="7">
        <v>200</v>
      </c>
      <c r="B217" s="5" t="s">
        <v>10</v>
      </c>
      <c r="C217" s="8">
        <f>331.78+5.17+26.1+857.83+15.28+67.27</f>
        <v>1303.43</v>
      </c>
      <c r="D217" s="8">
        <v>1194.53</v>
      </c>
      <c r="E217" s="8">
        <f aca="true" t="shared" si="31" ref="E217:F217">551+48+500+11+40</f>
        <v>1150</v>
      </c>
      <c r="F217" s="8">
        <f t="shared" si="31"/>
        <v>1150</v>
      </c>
      <c r="G217" s="8">
        <f t="shared" si="30"/>
        <v>0</v>
      </c>
      <c r="H217" s="10">
        <v>0</v>
      </c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1:28" ht="12.75">
      <c r="A218" s="7">
        <v>300</v>
      </c>
      <c r="B218" s="5" t="s">
        <v>23</v>
      </c>
      <c r="C218" s="8">
        <f>7757.38</f>
        <v>7757.38</v>
      </c>
      <c r="D218" s="8">
        <v>7798.97</v>
      </c>
      <c r="E218" s="8">
        <v>10684</v>
      </c>
      <c r="F218" s="8">
        <v>13654</v>
      </c>
      <c r="G218" s="8">
        <f t="shared" si="30"/>
        <v>2970</v>
      </c>
      <c r="H218" s="10">
        <f>G218/E218</f>
        <v>0.27798577311868217</v>
      </c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1:28" ht="12.75">
      <c r="A219" s="7">
        <v>300</v>
      </c>
      <c r="B219" s="5" t="s">
        <v>86</v>
      </c>
      <c r="C219" s="8">
        <v>54550.04</v>
      </c>
      <c r="D219" s="8">
        <v>45279.74</v>
      </c>
      <c r="E219" s="8">
        <v>65000</v>
      </c>
      <c r="F219" s="8">
        <v>65000</v>
      </c>
      <c r="G219" s="8">
        <f t="shared" si="30"/>
        <v>0</v>
      </c>
      <c r="H219" s="10">
        <v>0</v>
      </c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1:28" ht="12.75">
      <c r="A220" s="7">
        <v>561</v>
      </c>
      <c r="B220" s="5" t="s">
        <v>25</v>
      </c>
      <c r="C220" s="8">
        <v>0</v>
      </c>
      <c r="D220" s="8">
        <v>0</v>
      </c>
      <c r="E220" s="8">
        <v>0</v>
      </c>
      <c r="F220" s="8">
        <v>0</v>
      </c>
      <c r="G220" s="8">
        <f t="shared" si="30"/>
        <v>0</v>
      </c>
      <c r="H220" s="10">
        <v>0</v>
      </c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1:28" ht="12.75">
      <c r="A221" s="7">
        <v>593</v>
      </c>
      <c r="B221" s="5" t="s">
        <v>26</v>
      </c>
      <c r="C221" s="8">
        <v>0</v>
      </c>
      <c r="D221" s="8">
        <v>0</v>
      </c>
      <c r="E221" s="8">
        <v>0</v>
      </c>
      <c r="F221" s="8">
        <v>0</v>
      </c>
      <c r="G221" s="8">
        <f t="shared" si="30"/>
        <v>0</v>
      </c>
      <c r="H221" s="10">
        <v>0</v>
      </c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1:28" ht="12.75">
      <c r="A222" s="7">
        <v>566</v>
      </c>
      <c r="B222" s="5" t="s">
        <v>27</v>
      </c>
      <c r="C222" s="8">
        <v>0</v>
      </c>
      <c r="D222" s="8">
        <v>0</v>
      </c>
      <c r="E222" s="8">
        <v>0</v>
      </c>
      <c r="F222" s="8">
        <v>0</v>
      </c>
      <c r="G222" s="8">
        <f t="shared" si="30"/>
        <v>0</v>
      </c>
      <c r="H222" s="10">
        <v>0</v>
      </c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pans="1:28" ht="12.75">
      <c r="A223" s="7">
        <v>500</v>
      </c>
      <c r="B223" s="5" t="s">
        <v>28</v>
      </c>
      <c r="C223" s="8">
        <v>0</v>
      </c>
      <c r="D223" s="8">
        <v>0</v>
      </c>
      <c r="E223" s="8">
        <v>0</v>
      </c>
      <c r="F223" s="8">
        <v>0</v>
      </c>
      <c r="G223" s="8">
        <f t="shared" si="30"/>
        <v>0</v>
      </c>
      <c r="H223" s="10">
        <v>0</v>
      </c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1:28" ht="12.75">
      <c r="A224" s="7">
        <v>600</v>
      </c>
      <c r="B224" s="5" t="s">
        <v>29</v>
      </c>
      <c r="C224" s="8">
        <v>0</v>
      </c>
      <c r="D224" s="8">
        <v>0</v>
      </c>
      <c r="E224" s="8">
        <v>0</v>
      </c>
      <c r="F224" s="8">
        <v>0</v>
      </c>
      <c r="G224" s="8">
        <f t="shared" si="30"/>
        <v>0</v>
      </c>
      <c r="H224" s="10">
        <v>0</v>
      </c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1:28" ht="12.75">
      <c r="A225" s="7">
        <v>700</v>
      </c>
      <c r="B225" s="5" t="s">
        <v>30</v>
      </c>
      <c r="C225" s="8">
        <v>0</v>
      </c>
      <c r="D225" s="8">
        <v>0</v>
      </c>
      <c r="E225" s="8">
        <v>0</v>
      </c>
      <c r="F225" s="8">
        <v>0</v>
      </c>
      <c r="G225" s="8">
        <f t="shared" si="30"/>
        <v>0</v>
      </c>
      <c r="H225" s="10">
        <v>0</v>
      </c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1:28" ht="12.75">
      <c r="A226" s="7">
        <v>800</v>
      </c>
      <c r="B226" s="5" t="s">
        <v>31</v>
      </c>
      <c r="C226" s="8">
        <v>0</v>
      </c>
      <c r="D226" s="8">
        <v>0</v>
      </c>
      <c r="E226" s="8">
        <v>0</v>
      </c>
      <c r="F226" s="8">
        <v>0</v>
      </c>
      <c r="G226" s="8">
        <f t="shared" si="30"/>
        <v>0</v>
      </c>
      <c r="H226" s="10">
        <v>0</v>
      </c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1:28" ht="12.75">
      <c r="A227" s="7">
        <v>900</v>
      </c>
      <c r="B227" s="5" t="s">
        <v>32</v>
      </c>
      <c r="C227" s="8">
        <v>0</v>
      </c>
      <c r="D227" s="8">
        <v>0</v>
      </c>
      <c r="E227" s="8">
        <v>0</v>
      </c>
      <c r="F227" s="8">
        <v>0</v>
      </c>
      <c r="G227" s="8">
        <f t="shared" si="30"/>
        <v>0</v>
      </c>
      <c r="H227" s="10">
        <v>0</v>
      </c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1:28" ht="12.75">
      <c r="A228" s="5"/>
      <c r="B228" s="5"/>
      <c r="C228" s="8">
        <f aca="true" t="shared" si="32" ref="C228:G228">SUM(C216:C227)</f>
        <v>79173.73</v>
      </c>
      <c r="D228" s="8">
        <f t="shared" si="32"/>
        <v>68460.73999999999</v>
      </c>
      <c r="E228" s="8">
        <f t="shared" si="32"/>
        <v>90034</v>
      </c>
      <c r="F228" s="8">
        <f t="shared" si="32"/>
        <v>93004</v>
      </c>
      <c r="G228" s="8">
        <f t="shared" si="32"/>
        <v>2970</v>
      </c>
      <c r="H228" s="10">
        <f>G228/E228</f>
        <v>0.03298753804118444</v>
      </c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1:28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1:28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1:28" ht="12.75">
      <c r="A231" s="2"/>
      <c r="B231" s="2" t="s">
        <v>87</v>
      </c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1:28" ht="12.75">
      <c r="A232" s="5"/>
      <c r="B232" s="11" t="s">
        <v>16</v>
      </c>
      <c r="C232" s="12" t="s">
        <v>17</v>
      </c>
      <c r="D232" s="12" t="s">
        <v>18</v>
      </c>
      <c r="E232" s="12" t="s">
        <v>19</v>
      </c>
      <c r="F232" s="12" t="s">
        <v>20</v>
      </c>
      <c r="G232" s="11" t="s">
        <v>7</v>
      </c>
      <c r="H232" s="12" t="s">
        <v>21</v>
      </c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pans="1:28" ht="12.75">
      <c r="A233" s="5"/>
      <c r="B233" s="5"/>
      <c r="C233" s="5"/>
      <c r="D233" s="5"/>
      <c r="E233" s="5"/>
      <c r="F233" s="5"/>
      <c r="G233" s="5"/>
      <c r="H233" s="5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spans="1:28" ht="12.75">
      <c r="A234" s="7">
        <v>100</v>
      </c>
      <c r="B234" s="5" t="s">
        <v>22</v>
      </c>
      <c r="C234" s="8">
        <f>17200.84+500</f>
        <v>17700.84</v>
      </c>
      <c r="D234" s="8">
        <v>14668.52</v>
      </c>
      <c r="E234" s="8">
        <f>17076+500</f>
        <v>17576</v>
      </c>
      <c r="F234" s="8">
        <v>17731</v>
      </c>
      <c r="G234" s="8">
        <f aca="true" t="shared" si="33" ref="G234:G246">F234-E234</f>
        <v>155</v>
      </c>
      <c r="H234" s="10">
        <f aca="true" t="shared" si="34" ref="H234:H236">G234/E234</f>
        <v>0.008818843878015476</v>
      </c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 spans="1:28" ht="12.75">
      <c r="A235" s="7">
        <v>200</v>
      </c>
      <c r="B235" s="5" t="s">
        <v>10</v>
      </c>
      <c r="C235" s="8">
        <f>1381.29+38.25</f>
        <v>1419.54</v>
      </c>
      <c r="D235" s="8">
        <v>1173.43</v>
      </c>
      <c r="E235" s="8">
        <f>1454+38.25</f>
        <v>1492.25</v>
      </c>
      <c r="F235" s="8">
        <f>1513+38.25</f>
        <v>1551.25</v>
      </c>
      <c r="G235" s="8">
        <f t="shared" si="33"/>
        <v>59</v>
      </c>
      <c r="H235" s="10">
        <f t="shared" si="34"/>
        <v>0.039537610990115594</v>
      </c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</row>
    <row r="236" spans="1:28" ht="12.75">
      <c r="A236" s="7">
        <v>300</v>
      </c>
      <c r="B236" s="5" t="s">
        <v>23</v>
      </c>
      <c r="C236" s="8">
        <v>20669.58</v>
      </c>
      <c r="D236" s="8">
        <v>19614.3</v>
      </c>
      <c r="E236" s="8">
        <v>15500</v>
      </c>
      <c r="F236" s="8">
        <v>15500</v>
      </c>
      <c r="G236" s="8">
        <f t="shared" si="33"/>
        <v>0</v>
      </c>
      <c r="H236" s="10">
        <f t="shared" si="34"/>
        <v>0</v>
      </c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</row>
    <row r="237" spans="1:28" ht="12.75">
      <c r="A237" s="7">
        <v>400</v>
      </c>
      <c r="B237" s="5" t="s">
        <v>88</v>
      </c>
      <c r="C237" s="8">
        <v>0</v>
      </c>
      <c r="D237" s="8">
        <v>0</v>
      </c>
      <c r="E237" s="8">
        <v>0</v>
      </c>
      <c r="F237" s="8">
        <v>0</v>
      </c>
      <c r="G237" s="8">
        <f t="shared" si="33"/>
        <v>0</v>
      </c>
      <c r="H237" s="10">
        <v>0</v>
      </c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</row>
    <row r="238" spans="1:28" ht="12.75">
      <c r="A238" s="7">
        <v>561</v>
      </c>
      <c r="B238" s="5" t="s">
        <v>25</v>
      </c>
      <c r="C238" s="8">
        <v>0</v>
      </c>
      <c r="D238" s="8">
        <v>0</v>
      </c>
      <c r="E238" s="8">
        <v>0</v>
      </c>
      <c r="F238" s="8">
        <v>0</v>
      </c>
      <c r="G238" s="8">
        <f t="shared" si="33"/>
        <v>0</v>
      </c>
      <c r="H238" s="10">
        <v>0</v>
      </c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</row>
    <row r="239" spans="1:28" ht="12.75">
      <c r="A239" s="7">
        <v>593</v>
      </c>
      <c r="B239" s="5" t="s">
        <v>26</v>
      </c>
      <c r="C239" s="8">
        <v>650906.26</v>
      </c>
      <c r="D239" s="8">
        <v>589470.06</v>
      </c>
      <c r="E239" s="8">
        <v>697076</v>
      </c>
      <c r="F239" s="8">
        <v>683012</v>
      </c>
      <c r="G239" s="8">
        <f t="shared" si="33"/>
        <v>-14064</v>
      </c>
      <c r="H239" s="10">
        <f>G239/E239</f>
        <v>-0.02017570537502367</v>
      </c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</row>
    <row r="240" spans="1:28" ht="12.75">
      <c r="A240" s="7">
        <v>566</v>
      </c>
      <c r="B240" s="5" t="s">
        <v>27</v>
      </c>
      <c r="C240" s="8">
        <v>0</v>
      </c>
      <c r="D240" s="8">
        <v>0</v>
      </c>
      <c r="E240" s="8">
        <v>0</v>
      </c>
      <c r="F240" s="8">
        <v>0</v>
      </c>
      <c r="G240" s="8">
        <f t="shared" si="33"/>
        <v>0</v>
      </c>
      <c r="H240" s="10">
        <v>0</v>
      </c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</row>
    <row r="241" spans="1:28" ht="12.75">
      <c r="A241" s="7">
        <v>500</v>
      </c>
      <c r="B241" s="5" t="s">
        <v>28</v>
      </c>
      <c r="C241" s="8">
        <v>2892.34</v>
      </c>
      <c r="D241" s="8">
        <f>2025.75+2393.35+531.53+1916.45</f>
        <v>6867.08</v>
      </c>
      <c r="E241" s="8">
        <v>6500</v>
      </c>
      <c r="F241" s="8">
        <v>6500</v>
      </c>
      <c r="G241" s="8">
        <f t="shared" si="33"/>
        <v>0</v>
      </c>
      <c r="H241" s="10">
        <f aca="true" t="shared" si="35" ref="H241:H242">G241/E241</f>
        <v>0</v>
      </c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</row>
    <row r="242" spans="1:28" ht="12.75">
      <c r="A242" s="7">
        <v>600</v>
      </c>
      <c r="B242" s="5" t="s">
        <v>29</v>
      </c>
      <c r="C242" s="8">
        <v>513</v>
      </c>
      <c r="D242" s="8">
        <v>32.5</v>
      </c>
      <c r="E242" s="8">
        <v>1000</v>
      </c>
      <c r="F242" s="8">
        <v>500</v>
      </c>
      <c r="G242" s="8">
        <f t="shared" si="33"/>
        <v>-500</v>
      </c>
      <c r="H242" s="10">
        <f t="shared" si="35"/>
        <v>-0.5</v>
      </c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</row>
    <row r="243" spans="1:28" ht="12.75">
      <c r="A243" s="7">
        <v>700</v>
      </c>
      <c r="B243" s="5" t="s">
        <v>30</v>
      </c>
      <c r="C243" s="8">
        <v>0</v>
      </c>
      <c r="D243" s="8">
        <v>0</v>
      </c>
      <c r="E243" s="8">
        <v>0</v>
      </c>
      <c r="F243" s="8">
        <v>0</v>
      </c>
      <c r="G243" s="8">
        <f t="shared" si="33"/>
        <v>0</v>
      </c>
      <c r="H243" s="10">
        <v>0</v>
      </c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</row>
    <row r="244" spans="1:28" ht="12.75">
      <c r="A244" s="7">
        <v>800</v>
      </c>
      <c r="B244" s="5" t="s">
        <v>31</v>
      </c>
      <c r="C244" s="8">
        <v>6957.02</v>
      </c>
      <c r="D244" s="8">
        <v>4464.88</v>
      </c>
      <c r="E244" s="8">
        <f>37497+1500+2200+1500+5000</f>
        <v>47697</v>
      </c>
      <c r="F244" s="8">
        <v>201166</v>
      </c>
      <c r="G244" s="8">
        <f t="shared" si="33"/>
        <v>153469</v>
      </c>
      <c r="H244" s="10">
        <f aca="true" t="shared" si="36" ref="H244:H247">G244/E244</f>
        <v>3.2175818185630125</v>
      </c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</row>
    <row r="245" spans="1:28" ht="12.75">
      <c r="A245" s="7">
        <v>897</v>
      </c>
      <c r="B245" s="5" t="s">
        <v>89</v>
      </c>
      <c r="C245" s="8">
        <v>0</v>
      </c>
      <c r="D245" s="8">
        <v>0</v>
      </c>
      <c r="E245" s="8">
        <v>139172.74</v>
      </c>
      <c r="F245" s="8">
        <v>0</v>
      </c>
      <c r="G245" s="8">
        <f t="shared" si="33"/>
        <v>-139172.74</v>
      </c>
      <c r="H245" s="10">
        <f t="shared" si="36"/>
        <v>-1</v>
      </c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</row>
    <row r="246" spans="1:28" ht="12.75">
      <c r="A246" s="7">
        <v>900</v>
      </c>
      <c r="B246" s="5" t="s">
        <v>32</v>
      </c>
      <c r="C246" s="8">
        <v>0</v>
      </c>
      <c r="D246" s="8">
        <v>7750</v>
      </c>
      <c r="E246" s="8">
        <v>11500</v>
      </c>
      <c r="F246" s="8">
        <v>11500</v>
      </c>
      <c r="G246" s="8">
        <f t="shared" si="33"/>
        <v>0</v>
      </c>
      <c r="H246" s="10">
        <f t="shared" si="36"/>
        <v>0</v>
      </c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</row>
    <row r="247" spans="1:28" ht="12.75">
      <c r="A247" s="5"/>
      <c r="B247" s="5"/>
      <c r="C247" s="8">
        <f aca="true" t="shared" si="37" ref="C247:G247">SUM(C234:C246)</f>
        <v>701058.58</v>
      </c>
      <c r="D247" s="8">
        <f t="shared" si="37"/>
        <v>644040.77</v>
      </c>
      <c r="E247" s="8">
        <f t="shared" si="37"/>
        <v>937513.99</v>
      </c>
      <c r="F247" s="8">
        <f t="shared" si="37"/>
        <v>937460.25</v>
      </c>
      <c r="G247" s="8">
        <f t="shared" si="37"/>
        <v>-53.73999999999069</v>
      </c>
      <c r="H247" s="10">
        <f t="shared" si="36"/>
        <v>-5.732181127237439E-05</v>
      </c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</row>
    <row r="248" spans="1:28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</row>
    <row r="249" spans="1:28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</row>
    <row r="250" spans="1:28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</row>
    <row r="251" spans="1:28" ht="12.75">
      <c r="A251" s="2"/>
      <c r="B251" s="2" t="s">
        <v>90</v>
      </c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</row>
    <row r="252" spans="1:28" ht="12.75">
      <c r="A252" s="5"/>
      <c r="B252" s="11" t="s">
        <v>16</v>
      </c>
      <c r="C252" s="12" t="s">
        <v>17</v>
      </c>
      <c r="D252" s="12" t="s">
        <v>18</v>
      </c>
      <c r="E252" s="12" t="s">
        <v>19</v>
      </c>
      <c r="F252" s="12" t="s">
        <v>20</v>
      </c>
      <c r="G252" s="11" t="s">
        <v>7</v>
      </c>
      <c r="H252" s="12" t="s">
        <v>21</v>
      </c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</row>
    <row r="253" spans="1:28" ht="12.75">
      <c r="A253" s="5"/>
      <c r="B253" s="5"/>
      <c r="C253" s="5"/>
      <c r="D253" s="5"/>
      <c r="E253" s="5"/>
      <c r="F253" s="5"/>
      <c r="G253" s="5"/>
      <c r="H253" s="5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</row>
    <row r="254" spans="1:28" ht="12.75">
      <c r="A254" s="7">
        <v>100</v>
      </c>
      <c r="B254" s="5" t="s">
        <v>22</v>
      </c>
      <c r="C254" s="8">
        <v>31856.15</v>
      </c>
      <c r="D254" s="8">
        <v>31856</v>
      </c>
      <c r="E254" s="8">
        <v>31856</v>
      </c>
      <c r="F254" s="8">
        <v>0</v>
      </c>
      <c r="G254" s="8">
        <f aca="true" t="shared" si="38" ref="G254:G265">F254-E254</f>
        <v>-31856</v>
      </c>
      <c r="H254" s="10">
        <v>0</v>
      </c>
      <c r="I254" s="2" t="s">
        <v>3</v>
      </c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</row>
    <row r="255" spans="1:28" ht="12.75">
      <c r="A255" s="7">
        <v>200</v>
      </c>
      <c r="B255" s="5" t="s">
        <v>10</v>
      </c>
      <c r="C255" s="8">
        <v>5468.25</v>
      </c>
      <c r="D255" s="8">
        <f>2436.97+1433.64+24.17+1373.05+61.69</f>
        <v>5329.5199999999995</v>
      </c>
      <c r="E255" s="8">
        <v>5331.66</v>
      </c>
      <c r="F255" s="8">
        <v>0</v>
      </c>
      <c r="G255" s="8">
        <f t="shared" si="38"/>
        <v>-5331.66</v>
      </c>
      <c r="H255" s="10">
        <f>G255/E255</f>
        <v>-1</v>
      </c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</row>
    <row r="256" spans="1:28" ht="12.75">
      <c r="A256" s="7">
        <v>300</v>
      </c>
      <c r="B256" s="5" t="s">
        <v>23</v>
      </c>
      <c r="C256" s="8">
        <v>0</v>
      </c>
      <c r="D256" s="8">
        <v>0</v>
      </c>
      <c r="E256" s="8">
        <v>0</v>
      </c>
      <c r="F256" s="8">
        <v>0</v>
      </c>
      <c r="G256" s="8">
        <f t="shared" si="38"/>
        <v>0</v>
      </c>
      <c r="H256" s="10">
        <v>0</v>
      </c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</row>
    <row r="257" spans="1:28" ht="12.75">
      <c r="A257" s="7">
        <v>300</v>
      </c>
      <c r="B257" s="5" t="s">
        <v>92</v>
      </c>
      <c r="C257" s="8">
        <v>0</v>
      </c>
      <c r="D257" s="8">
        <v>0</v>
      </c>
      <c r="E257" s="8">
        <v>0</v>
      </c>
      <c r="F257" s="8">
        <v>0</v>
      </c>
      <c r="G257" s="8">
        <f t="shared" si="38"/>
        <v>0</v>
      </c>
      <c r="H257" s="10">
        <v>0</v>
      </c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</row>
    <row r="258" spans="1:28" ht="12.75">
      <c r="A258" s="7">
        <v>561</v>
      </c>
      <c r="B258" s="5" t="s">
        <v>25</v>
      </c>
      <c r="C258" s="8">
        <v>0</v>
      </c>
      <c r="D258" s="8">
        <v>0</v>
      </c>
      <c r="E258" s="8">
        <v>0</v>
      </c>
      <c r="F258" s="8">
        <v>0</v>
      </c>
      <c r="G258" s="8">
        <f t="shared" si="38"/>
        <v>0</v>
      </c>
      <c r="H258" s="10">
        <v>0</v>
      </c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</row>
    <row r="259" spans="1:28" ht="12.75">
      <c r="A259" s="7">
        <v>593</v>
      </c>
      <c r="B259" s="5" t="s">
        <v>26</v>
      </c>
      <c r="C259" s="8">
        <v>242803.77</v>
      </c>
      <c r="D259" s="8">
        <v>201590.3</v>
      </c>
      <c r="E259" s="8">
        <v>283300</v>
      </c>
      <c r="F259" s="8">
        <v>297106</v>
      </c>
      <c r="G259" s="8">
        <f t="shared" si="38"/>
        <v>13806</v>
      </c>
      <c r="H259" s="10">
        <f>G259/E259</f>
        <v>0.048732792093187434</v>
      </c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</row>
    <row r="260" spans="1:28" ht="12.75">
      <c r="A260" s="7">
        <v>566</v>
      </c>
      <c r="B260" s="5" t="s">
        <v>27</v>
      </c>
      <c r="C260" s="8">
        <v>0</v>
      </c>
      <c r="D260" s="8">
        <v>0</v>
      </c>
      <c r="E260" s="8">
        <v>0</v>
      </c>
      <c r="F260" s="8">
        <v>0</v>
      </c>
      <c r="G260" s="8">
        <f t="shared" si="38"/>
        <v>0</v>
      </c>
      <c r="H260" s="10">
        <v>0</v>
      </c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</row>
    <row r="261" spans="1:28" ht="12.75">
      <c r="A261" s="7">
        <v>500</v>
      </c>
      <c r="B261" s="5" t="s">
        <v>28</v>
      </c>
      <c r="C261" s="8">
        <v>0</v>
      </c>
      <c r="D261" s="8">
        <v>2328.9</v>
      </c>
      <c r="E261" s="8">
        <v>0</v>
      </c>
      <c r="F261" s="8">
        <v>0</v>
      </c>
      <c r="G261" s="8">
        <f t="shared" si="38"/>
        <v>0</v>
      </c>
      <c r="H261" s="10">
        <v>0</v>
      </c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</row>
    <row r="262" spans="1:28" ht="12.75">
      <c r="A262" s="7">
        <v>600</v>
      </c>
      <c r="B262" s="5" t="s">
        <v>29</v>
      </c>
      <c r="C262" s="8">
        <v>0</v>
      </c>
      <c r="D262" s="8">
        <v>0</v>
      </c>
      <c r="E262" s="8">
        <v>0</v>
      </c>
      <c r="F262" s="8">
        <v>0</v>
      </c>
      <c r="G262" s="8">
        <f t="shared" si="38"/>
        <v>0</v>
      </c>
      <c r="H262" s="10">
        <v>0</v>
      </c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</row>
    <row r="263" spans="1:28" ht="12.75">
      <c r="A263" s="7">
        <v>700</v>
      </c>
      <c r="B263" s="5" t="s">
        <v>30</v>
      </c>
      <c r="C263" s="8">
        <v>0</v>
      </c>
      <c r="D263" s="8">
        <v>0</v>
      </c>
      <c r="E263" s="8">
        <v>0</v>
      </c>
      <c r="F263" s="8">
        <v>0</v>
      </c>
      <c r="G263" s="8">
        <f t="shared" si="38"/>
        <v>0</v>
      </c>
      <c r="H263" s="10">
        <v>0</v>
      </c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</row>
    <row r="264" spans="1:28" ht="12.75">
      <c r="A264" s="7">
        <v>800</v>
      </c>
      <c r="B264" s="5" t="s">
        <v>31</v>
      </c>
      <c r="C264" s="8">
        <v>0</v>
      </c>
      <c r="D264" s="8">
        <v>0</v>
      </c>
      <c r="E264" s="8">
        <v>0</v>
      </c>
      <c r="F264" s="8">
        <v>0</v>
      </c>
      <c r="G264" s="8">
        <f t="shared" si="38"/>
        <v>0</v>
      </c>
      <c r="H264" s="10">
        <v>0</v>
      </c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</row>
    <row r="265" spans="1:28" ht="12.75">
      <c r="A265" s="7">
        <v>900</v>
      </c>
      <c r="B265" s="5" t="s">
        <v>32</v>
      </c>
      <c r="C265" s="8">
        <v>0</v>
      </c>
      <c r="D265" s="8">
        <v>35000</v>
      </c>
      <c r="E265" s="8">
        <v>35000</v>
      </c>
      <c r="F265" s="8">
        <v>35000</v>
      </c>
      <c r="G265" s="8">
        <f t="shared" si="38"/>
        <v>0</v>
      </c>
      <c r="H265" s="10">
        <v>0</v>
      </c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</row>
    <row r="266" spans="1:28" ht="12.75">
      <c r="A266" s="5"/>
      <c r="B266" s="5"/>
      <c r="C266" s="8">
        <f aca="true" t="shared" si="39" ref="C266:G266">SUM(C254:C265)</f>
        <v>280128.17</v>
      </c>
      <c r="D266" s="8">
        <f t="shared" si="39"/>
        <v>276104.72</v>
      </c>
      <c r="E266" s="8">
        <f t="shared" si="39"/>
        <v>355487.66</v>
      </c>
      <c r="F266" s="8">
        <f t="shared" si="39"/>
        <v>332106</v>
      </c>
      <c r="G266" s="8">
        <f t="shared" si="39"/>
        <v>-23381.66</v>
      </c>
      <c r="H266" s="10">
        <f>G266/E266</f>
        <v>-0.06577347860682421</v>
      </c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</row>
    <row r="267" spans="1:28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</row>
    <row r="268" spans="1:28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</row>
    <row r="269" spans="1:28" ht="12.75">
      <c r="A269" s="2"/>
      <c r="B269" s="2" t="s">
        <v>61</v>
      </c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</row>
    <row r="270" spans="1:28" ht="12.75">
      <c r="A270" s="5"/>
      <c r="B270" s="11" t="s">
        <v>16</v>
      </c>
      <c r="C270" s="12" t="s">
        <v>17</v>
      </c>
      <c r="D270" s="12" t="s">
        <v>18</v>
      </c>
      <c r="E270" s="12" t="s">
        <v>19</v>
      </c>
      <c r="F270" s="12" t="s">
        <v>20</v>
      </c>
      <c r="G270" s="11" t="s">
        <v>7</v>
      </c>
      <c r="H270" s="12" t="s">
        <v>21</v>
      </c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</row>
    <row r="271" spans="1:28" ht="12.75">
      <c r="A271" s="5"/>
      <c r="B271" s="5"/>
      <c r="C271" s="5"/>
      <c r="D271" s="5"/>
      <c r="E271" s="5"/>
      <c r="F271" s="5"/>
      <c r="G271" s="5"/>
      <c r="H271" s="5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</row>
    <row r="272" spans="1:28" ht="12.75">
      <c r="A272" s="7">
        <v>100</v>
      </c>
      <c r="B272" s="5" t="s">
        <v>22</v>
      </c>
      <c r="C272" s="8">
        <v>0</v>
      </c>
      <c r="D272" s="8">
        <v>50000</v>
      </c>
      <c r="E272" s="8">
        <v>50000</v>
      </c>
      <c r="F272" s="8">
        <v>52000</v>
      </c>
      <c r="G272" s="8">
        <f aca="true" t="shared" si="40" ref="G272:G283">F272-E272</f>
        <v>2000</v>
      </c>
      <c r="H272" s="10">
        <f aca="true" t="shared" si="41" ref="H272:H273">G272/E272</f>
        <v>0.04</v>
      </c>
      <c r="I272" s="2" t="s">
        <v>108</v>
      </c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</row>
    <row r="273" spans="1:28" ht="12.75">
      <c r="A273" s="7">
        <v>200</v>
      </c>
      <c r="B273" s="5" t="s">
        <v>10</v>
      </c>
      <c r="C273" s="8">
        <v>0</v>
      </c>
      <c r="D273" s="8">
        <v>14507.69</v>
      </c>
      <c r="E273" s="8">
        <v>18365.2</v>
      </c>
      <c r="F273" s="8">
        <v>27814.4</v>
      </c>
      <c r="G273" s="8">
        <f t="shared" si="40"/>
        <v>9449.2</v>
      </c>
      <c r="H273" s="10">
        <f t="shared" si="41"/>
        <v>0.5145165857164637</v>
      </c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</row>
    <row r="274" spans="1:28" ht="12.75">
      <c r="A274" s="7">
        <v>300</v>
      </c>
      <c r="B274" s="5" t="s">
        <v>23</v>
      </c>
      <c r="C274" s="8">
        <v>0</v>
      </c>
      <c r="D274" s="8">
        <v>2274.6</v>
      </c>
      <c r="E274" s="8">
        <v>2500</v>
      </c>
      <c r="F274" s="8">
        <v>2500</v>
      </c>
      <c r="G274" s="8">
        <f t="shared" si="40"/>
        <v>0</v>
      </c>
      <c r="H274" s="10">
        <v>0</v>
      </c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</row>
    <row r="275" spans="1:28" ht="12.75">
      <c r="A275" s="7">
        <v>400</v>
      </c>
      <c r="B275" s="5" t="s">
        <v>24</v>
      </c>
      <c r="C275" s="8">
        <v>0</v>
      </c>
      <c r="D275" s="8">
        <v>0</v>
      </c>
      <c r="E275" s="8">
        <v>0</v>
      </c>
      <c r="F275" s="8">
        <v>0</v>
      </c>
      <c r="G275" s="8">
        <f t="shared" si="40"/>
        <v>0</v>
      </c>
      <c r="H275" s="10">
        <v>0</v>
      </c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</row>
    <row r="276" spans="1:28" ht="12.75">
      <c r="A276" s="7">
        <v>561</v>
      </c>
      <c r="B276" s="5" t="s">
        <v>25</v>
      </c>
      <c r="C276" s="8">
        <v>0</v>
      </c>
      <c r="D276" s="8">
        <v>0</v>
      </c>
      <c r="E276" s="8">
        <v>0</v>
      </c>
      <c r="F276" s="8">
        <v>0</v>
      </c>
      <c r="G276" s="8">
        <f t="shared" si="40"/>
        <v>0</v>
      </c>
      <c r="H276" s="10">
        <v>0</v>
      </c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</row>
    <row r="277" spans="1:28" ht="12.75">
      <c r="A277" s="7">
        <v>593</v>
      </c>
      <c r="B277" s="5" t="s">
        <v>26</v>
      </c>
      <c r="C277" s="8">
        <v>0</v>
      </c>
      <c r="D277" s="8">
        <v>0</v>
      </c>
      <c r="E277" s="8">
        <v>0</v>
      </c>
      <c r="F277" s="8">
        <v>0</v>
      </c>
      <c r="G277" s="8">
        <f t="shared" si="40"/>
        <v>0</v>
      </c>
      <c r="H277" s="10">
        <v>0</v>
      </c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</row>
    <row r="278" spans="1:28" ht="12.75">
      <c r="A278" s="7">
        <v>566</v>
      </c>
      <c r="B278" s="5" t="s">
        <v>27</v>
      </c>
      <c r="C278" s="8">
        <v>0</v>
      </c>
      <c r="D278" s="8">
        <v>0</v>
      </c>
      <c r="E278" s="8">
        <v>0</v>
      </c>
      <c r="F278" s="8">
        <v>0</v>
      </c>
      <c r="G278" s="8">
        <f t="shared" si="40"/>
        <v>0</v>
      </c>
      <c r="H278" s="10">
        <v>0</v>
      </c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</row>
    <row r="279" spans="1:28" ht="12.75">
      <c r="A279" s="7">
        <v>500</v>
      </c>
      <c r="B279" s="5" t="s">
        <v>28</v>
      </c>
      <c r="C279" s="8">
        <v>0</v>
      </c>
      <c r="D279" s="8">
        <v>0</v>
      </c>
      <c r="E279" s="8">
        <v>1500</v>
      </c>
      <c r="F279" s="8">
        <v>1500</v>
      </c>
      <c r="G279" s="8">
        <f t="shared" si="40"/>
        <v>0</v>
      </c>
      <c r="H279" s="10">
        <v>1</v>
      </c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</row>
    <row r="280" spans="1:28" ht="12.75">
      <c r="A280" s="7">
        <v>600</v>
      </c>
      <c r="B280" s="5" t="s">
        <v>29</v>
      </c>
      <c r="C280" s="8">
        <v>0</v>
      </c>
      <c r="D280" s="8">
        <v>0</v>
      </c>
      <c r="E280" s="8">
        <v>0</v>
      </c>
      <c r="F280" s="8">
        <v>0</v>
      </c>
      <c r="G280" s="8">
        <f t="shared" si="40"/>
        <v>0</v>
      </c>
      <c r="H280" s="10">
        <v>0</v>
      </c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</row>
    <row r="281" spans="1:28" ht="12.75">
      <c r="A281" s="7">
        <v>700</v>
      </c>
      <c r="B281" s="5" t="s">
        <v>30</v>
      </c>
      <c r="C281" s="8">
        <v>0</v>
      </c>
      <c r="D281" s="8">
        <v>0</v>
      </c>
      <c r="E281" s="8">
        <v>0</v>
      </c>
      <c r="F281" s="8">
        <v>0</v>
      </c>
      <c r="G281" s="8">
        <f t="shared" si="40"/>
        <v>0</v>
      </c>
      <c r="H281" s="10">
        <v>0</v>
      </c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</row>
    <row r="282" spans="1:28" ht="12.75">
      <c r="A282" s="7">
        <v>800</v>
      </c>
      <c r="B282" s="5" t="s">
        <v>31</v>
      </c>
      <c r="C282" s="8">
        <v>0</v>
      </c>
      <c r="D282" s="8">
        <v>0</v>
      </c>
      <c r="E282" s="8">
        <v>0</v>
      </c>
      <c r="F282" s="8">
        <v>0</v>
      </c>
      <c r="G282" s="8">
        <f t="shared" si="40"/>
        <v>0</v>
      </c>
      <c r="H282" s="10">
        <v>0</v>
      </c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</row>
    <row r="283" spans="1:28" ht="12.75">
      <c r="A283" s="7">
        <v>900</v>
      </c>
      <c r="B283" s="5" t="s">
        <v>32</v>
      </c>
      <c r="C283" s="8">
        <v>0</v>
      </c>
      <c r="D283" s="8">
        <v>0</v>
      </c>
      <c r="E283" s="8">
        <v>0</v>
      </c>
      <c r="F283" s="8">
        <v>0</v>
      </c>
      <c r="G283" s="8">
        <f t="shared" si="40"/>
        <v>0</v>
      </c>
      <c r="H283" s="10">
        <v>0</v>
      </c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</row>
    <row r="284" spans="1:28" ht="12.75">
      <c r="A284" s="5"/>
      <c r="B284" s="5"/>
      <c r="C284" s="8">
        <f aca="true" t="shared" si="42" ref="C284:G284">SUM(C272:C283)</f>
        <v>0</v>
      </c>
      <c r="D284" s="8">
        <f t="shared" si="42"/>
        <v>66782.29000000001</v>
      </c>
      <c r="E284" s="8">
        <f t="shared" si="42"/>
        <v>72365.2</v>
      </c>
      <c r="F284" s="8">
        <f t="shared" si="42"/>
        <v>83814.4</v>
      </c>
      <c r="G284" s="8">
        <f t="shared" si="42"/>
        <v>11449.2</v>
      </c>
      <c r="H284" s="10">
        <f>G284/E284</f>
        <v>0.15821416924156917</v>
      </c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</row>
    <row r="285" spans="1:28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</row>
    <row r="286" spans="1:28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</row>
    <row r="287" spans="1:28" ht="12.75">
      <c r="A287" s="2"/>
      <c r="B287" s="2" t="s">
        <v>94</v>
      </c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</row>
    <row r="288" spans="1:28" ht="12.75">
      <c r="A288" s="5"/>
      <c r="B288" s="11" t="s">
        <v>16</v>
      </c>
      <c r="C288" s="12" t="s">
        <v>17</v>
      </c>
      <c r="D288" s="12" t="s">
        <v>18</v>
      </c>
      <c r="E288" s="12" t="s">
        <v>19</v>
      </c>
      <c r="F288" s="12" t="s">
        <v>20</v>
      </c>
      <c r="G288" s="11" t="s">
        <v>7</v>
      </c>
      <c r="H288" s="12" t="s">
        <v>21</v>
      </c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</row>
    <row r="289" spans="1:28" ht="12.75">
      <c r="A289" s="5"/>
      <c r="B289" s="5"/>
      <c r="C289" s="5"/>
      <c r="D289" s="5"/>
      <c r="E289" s="5"/>
      <c r="F289" s="5"/>
      <c r="G289" s="5"/>
      <c r="H289" s="5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</row>
    <row r="290" spans="1:28" ht="12.75">
      <c r="A290" s="7">
        <v>100</v>
      </c>
      <c r="B290" s="5" t="s">
        <v>22</v>
      </c>
      <c r="C290" s="8">
        <v>129673.14</v>
      </c>
      <c r="D290" s="8">
        <v>138007.75</v>
      </c>
      <c r="E290" s="8">
        <v>142576</v>
      </c>
      <c r="F290" s="8">
        <v>142576</v>
      </c>
      <c r="G290" s="8">
        <f aca="true" t="shared" si="43" ref="G290:G301">F290-E290</f>
        <v>0</v>
      </c>
      <c r="H290" s="10">
        <f aca="true" t="shared" si="44" ref="H290:H291">G290/E290</f>
        <v>0</v>
      </c>
      <c r="I290" s="2" t="s">
        <v>95</v>
      </c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</row>
    <row r="291" spans="1:28" ht="12.75">
      <c r="A291" s="7">
        <v>200</v>
      </c>
      <c r="B291" s="5" t="s">
        <v>10</v>
      </c>
      <c r="C291" s="8">
        <v>42126.62</v>
      </c>
      <c r="D291" s="8">
        <v>52492.24</v>
      </c>
      <c r="E291" s="8">
        <v>58103.34</v>
      </c>
      <c r="F291" s="8">
        <v>60250.45</v>
      </c>
      <c r="G291" s="8">
        <f t="shared" si="43"/>
        <v>2147.1100000000006</v>
      </c>
      <c r="H291" s="10">
        <f t="shared" si="44"/>
        <v>0.036953297349171334</v>
      </c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</row>
    <row r="292" spans="1:28" ht="12.75">
      <c r="A292" s="7">
        <v>300</v>
      </c>
      <c r="B292" s="5" t="s">
        <v>23</v>
      </c>
      <c r="C292" s="8">
        <v>2977.39</v>
      </c>
      <c r="D292" s="8">
        <v>1353.72</v>
      </c>
      <c r="E292" s="8">
        <v>1386</v>
      </c>
      <c r="F292" s="8">
        <v>1680</v>
      </c>
      <c r="G292" s="8">
        <f t="shared" si="43"/>
        <v>294</v>
      </c>
      <c r="H292" s="10">
        <v>0</v>
      </c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</row>
    <row r="293" spans="1:28" ht="12.75">
      <c r="A293" s="7">
        <v>400</v>
      </c>
      <c r="B293" s="5" t="s">
        <v>24</v>
      </c>
      <c r="C293" s="8">
        <v>390</v>
      </c>
      <c r="D293" s="8">
        <v>100</v>
      </c>
      <c r="E293" s="8">
        <v>390</v>
      </c>
      <c r="F293" s="8">
        <v>390</v>
      </c>
      <c r="G293" s="8">
        <f t="shared" si="43"/>
        <v>0</v>
      </c>
      <c r="H293" s="10">
        <f>G293/E293</f>
        <v>0</v>
      </c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</row>
    <row r="294" spans="1:28" ht="12.75">
      <c r="A294" s="7">
        <v>561</v>
      </c>
      <c r="B294" s="5" t="s">
        <v>25</v>
      </c>
      <c r="C294" s="8">
        <v>0</v>
      </c>
      <c r="D294" s="8">
        <v>0</v>
      </c>
      <c r="E294" s="8">
        <v>0</v>
      </c>
      <c r="F294" s="8">
        <v>0</v>
      </c>
      <c r="G294" s="8">
        <f t="shared" si="43"/>
        <v>0</v>
      </c>
      <c r="H294" s="10">
        <v>0</v>
      </c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</row>
    <row r="295" spans="1:28" ht="12.75">
      <c r="A295" s="7">
        <v>593</v>
      </c>
      <c r="B295" s="5" t="s">
        <v>26</v>
      </c>
      <c r="C295" s="8">
        <v>0</v>
      </c>
      <c r="D295" s="8">
        <v>0</v>
      </c>
      <c r="E295" s="8">
        <v>0</v>
      </c>
      <c r="F295" s="8">
        <v>0</v>
      </c>
      <c r="G295" s="8">
        <f t="shared" si="43"/>
        <v>0</v>
      </c>
      <c r="H295" s="10">
        <v>0</v>
      </c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</row>
    <row r="296" spans="1:28" ht="12.75">
      <c r="A296" s="7">
        <v>566</v>
      </c>
      <c r="B296" s="5" t="s">
        <v>27</v>
      </c>
      <c r="C296" s="8">
        <v>0</v>
      </c>
      <c r="D296" s="8">
        <v>0</v>
      </c>
      <c r="E296" s="8">
        <v>0</v>
      </c>
      <c r="F296" s="8">
        <v>0</v>
      </c>
      <c r="G296" s="8">
        <f t="shared" si="43"/>
        <v>0</v>
      </c>
      <c r="H296" s="10">
        <v>0</v>
      </c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</row>
    <row r="297" spans="1:28" ht="12.75">
      <c r="A297" s="7">
        <v>500</v>
      </c>
      <c r="B297" s="5" t="s">
        <v>28</v>
      </c>
      <c r="C297" s="8">
        <v>132.24</v>
      </c>
      <c r="D297" s="8">
        <v>0</v>
      </c>
      <c r="E297" s="8">
        <v>500</v>
      </c>
      <c r="F297" s="8">
        <v>500</v>
      </c>
      <c r="G297" s="8">
        <f t="shared" si="43"/>
        <v>0</v>
      </c>
      <c r="H297" s="10">
        <v>0</v>
      </c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</row>
    <row r="298" spans="1:28" ht="12.75">
      <c r="A298" s="7">
        <v>600</v>
      </c>
      <c r="B298" s="5" t="s">
        <v>29</v>
      </c>
      <c r="C298" s="8">
        <v>1972.95</v>
      </c>
      <c r="D298" s="8">
        <v>287.44</v>
      </c>
      <c r="E298" s="8">
        <v>5075</v>
      </c>
      <c r="F298" s="8">
        <v>5075</v>
      </c>
      <c r="G298" s="8">
        <f t="shared" si="43"/>
        <v>0</v>
      </c>
      <c r="H298" s="10">
        <f>G298/E298</f>
        <v>0</v>
      </c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</row>
    <row r="299" spans="1:28" ht="12.75">
      <c r="A299" s="7">
        <v>700</v>
      </c>
      <c r="B299" s="5" t="s">
        <v>30</v>
      </c>
      <c r="C299" s="8">
        <v>633.95</v>
      </c>
      <c r="D299" s="8">
        <v>131.99</v>
      </c>
      <c r="E299" s="8">
        <v>3000</v>
      </c>
      <c r="F299" s="8">
        <v>3000</v>
      </c>
      <c r="G299" s="8">
        <f t="shared" si="43"/>
        <v>0</v>
      </c>
      <c r="H299" s="10">
        <v>0</v>
      </c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</row>
    <row r="300" spans="1:28" ht="12.75">
      <c r="A300" s="7">
        <v>800</v>
      </c>
      <c r="B300" s="5" t="s">
        <v>31</v>
      </c>
      <c r="C300" s="8">
        <v>0</v>
      </c>
      <c r="D300" s="8">
        <v>0</v>
      </c>
      <c r="E300" s="8">
        <v>0</v>
      </c>
      <c r="F300" s="8">
        <v>0</v>
      </c>
      <c r="G300" s="8">
        <f t="shared" si="43"/>
        <v>0</v>
      </c>
      <c r="H300" s="10">
        <v>0</v>
      </c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</row>
    <row r="301" spans="1:28" ht="12.75">
      <c r="A301" s="7">
        <v>900</v>
      </c>
      <c r="B301" s="5" t="s">
        <v>32</v>
      </c>
      <c r="C301" s="8">
        <v>0</v>
      </c>
      <c r="D301" s="8">
        <v>0</v>
      </c>
      <c r="E301" s="8">
        <v>0</v>
      </c>
      <c r="F301" s="8">
        <v>0</v>
      </c>
      <c r="G301" s="8">
        <f t="shared" si="43"/>
        <v>0</v>
      </c>
      <c r="H301" s="10">
        <v>0</v>
      </c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</row>
    <row r="302" spans="1:28" ht="12.75">
      <c r="A302" s="5"/>
      <c r="B302" s="5"/>
      <c r="C302" s="8">
        <f aca="true" t="shared" si="45" ref="C302:G302">SUM(C290:C301)</f>
        <v>177906.28999999998</v>
      </c>
      <c r="D302" s="8">
        <f t="shared" si="45"/>
        <v>192373.14</v>
      </c>
      <c r="E302" s="8">
        <f t="shared" si="45"/>
        <v>211030.34</v>
      </c>
      <c r="F302" s="8">
        <f t="shared" si="45"/>
        <v>213471.45</v>
      </c>
      <c r="G302" s="8">
        <f t="shared" si="45"/>
        <v>2441.1100000000006</v>
      </c>
      <c r="H302" s="10">
        <f>G302/E302</f>
        <v>0.011567578387069843</v>
      </c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</row>
    <row r="303" spans="1:28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</row>
    <row r="304" spans="1:28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</row>
    <row r="305" spans="1:28" ht="12.75">
      <c r="A305" s="2"/>
      <c r="B305" s="2"/>
      <c r="C305" s="14">
        <f aca="true" t="shared" si="46" ref="C305:F305">C302+C284+C266+C247+C228+C210+C192+C174+C156+C138+C120+C102+C84+C66+C48+C30</f>
        <v>3143202.909999999</v>
      </c>
      <c r="D305" s="14">
        <f t="shared" si="46"/>
        <v>3081815.64</v>
      </c>
      <c r="E305" s="14">
        <f t="shared" si="46"/>
        <v>3819273.9</v>
      </c>
      <c r="F305" s="14">
        <f t="shared" si="46"/>
        <v>3916552.58</v>
      </c>
      <c r="G305" s="14">
        <f>F305-E305</f>
        <v>97278.68000000017</v>
      </c>
      <c r="H305" s="15">
        <f>G305/E305</f>
        <v>0.0254704644251883</v>
      </c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</row>
    <row r="306" spans="1:28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</row>
    <row r="307" spans="1:28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</row>
    <row r="308" spans="1:28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</row>
    <row r="309" spans="1:28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</row>
    <row r="310" spans="1:28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</row>
    <row r="311" spans="1:28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</row>
    <row r="312" spans="1:28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</row>
    <row r="313" spans="1:28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</row>
    <row r="314" spans="1:28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</row>
    <row r="315" spans="1:28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</row>
    <row r="316" spans="1:28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</row>
    <row r="317" spans="1:28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</row>
    <row r="318" spans="1:28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</row>
    <row r="319" spans="1:28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</row>
    <row r="320" spans="1:28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</row>
    <row r="321" spans="1:28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</row>
    <row r="322" spans="1:28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</row>
    <row r="323" spans="1:28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</row>
    <row r="324" spans="1:28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</row>
    <row r="325" spans="1:28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</row>
    <row r="326" spans="1:28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</row>
    <row r="327" spans="1:28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</row>
    <row r="328" spans="1:28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</row>
    <row r="329" spans="1:28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</row>
    <row r="330" spans="1:28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</row>
    <row r="331" spans="1:28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</row>
    <row r="332" spans="1:28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</row>
    <row r="333" spans="1:28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</row>
    <row r="334" spans="1:28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</row>
    <row r="335" spans="1:28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</row>
    <row r="336" spans="1:28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</row>
    <row r="337" spans="1:28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</row>
    <row r="338" spans="1:28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</row>
    <row r="339" spans="1:28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</row>
    <row r="340" spans="1:28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</row>
    <row r="341" spans="1:28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</row>
    <row r="342" spans="1:28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</row>
    <row r="343" spans="1:28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</row>
    <row r="344" spans="1:28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</row>
    <row r="345" spans="1:28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</row>
    <row r="346" spans="1:28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</row>
    <row r="347" spans="1:28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</row>
    <row r="348" spans="1:28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</row>
    <row r="349" spans="1:28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</row>
    <row r="350" spans="1:28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</row>
    <row r="351" spans="1:28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</row>
    <row r="352" spans="1:28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</row>
    <row r="353" spans="1:28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</row>
    <row r="354" spans="1:28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</row>
    <row r="355" spans="1:28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</row>
    <row r="356" spans="1:28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</row>
    <row r="357" spans="1:28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</row>
    <row r="358" spans="1:28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</row>
    <row r="359" spans="1:28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</row>
    <row r="360" spans="1:28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</row>
    <row r="361" spans="1:28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</row>
    <row r="362" spans="1:28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</row>
    <row r="363" spans="1:28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</row>
    <row r="364" spans="1:28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</row>
    <row r="365" spans="1:28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</row>
    <row r="366" spans="1:28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</row>
    <row r="367" spans="1:28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</row>
    <row r="368" spans="1:28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</row>
    <row r="369" spans="1:28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</row>
    <row r="370" spans="1:28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</row>
    <row r="371" spans="1:28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</row>
    <row r="372" spans="1:28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</row>
    <row r="373" spans="1:28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</row>
    <row r="374" spans="1:28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</row>
    <row r="375" spans="1:28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</row>
    <row r="376" spans="1:28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</row>
    <row r="377" spans="1:28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</row>
    <row r="378" spans="1:28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</row>
    <row r="379" spans="1:28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</row>
    <row r="380" spans="1:28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</row>
    <row r="381" spans="1:28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</row>
    <row r="382" spans="1:28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</row>
    <row r="383" spans="1:28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</row>
    <row r="384" spans="1:28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</row>
    <row r="385" spans="1:28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</row>
    <row r="386" spans="1:28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</row>
    <row r="387" spans="1:28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</row>
    <row r="388" spans="1:28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</row>
    <row r="389" spans="1:28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</row>
    <row r="390" spans="1:28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</row>
    <row r="391" spans="1:28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</row>
    <row r="392" spans="1:28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</row>
    <row r="393" spans="1:28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</row>
    <row r="394" spans="1:28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</row>
    <row r="395" spans="1:28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</row>
    <row r="396" spans="1:28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</row>
    <row r="397" spans="1:28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</row>
    <row r="398" spans="1:28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</row>
    <row r="399" spans="1:28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</row>
    <row r="400" spans="1:28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</row>
    <row r="401" spans="1:28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</row>
    <row r="402" spans="1:28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</row>
    <row r="403" spans="1:28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</row>
    <row r="404" spans="1:28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</row>
    <row r="405" spans="1:28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</row>
    <row r="406" spans="1:28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</row>
    <row r="407" spans="1:28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</row>
    <row r="408" spans="1:28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</row>
    <row r="409" spans="1:28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</row>
    <row r="410" spans="1:28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</row>
    <row r="411" spans="1:28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</row>
    <row r="412" spans="1:28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</row>
    <row r="413" spans="1:28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</row>
    <row r="414" spans="1:28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</row>
    <row r="415" spans="1:28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</row>
    <row r="416" spans="1:28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</row>
    <row r="417" spans="1:28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</row>
    <row r="418" spans="1:28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</row>
    <row r="419" spans="1:28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</row>
    <row r="420" spans="1:28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</row>
    <row r="421" spans="1:28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</row>
    <row r="422" spans="1:28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</row>
    <row r="423" spans="1:28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</row>
    <row r="424" spans="1:28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</row>
    <row r="425" spans="1:28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</row>
    <row r="426" spans="1:28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</row>
    <row r="427" spans="1:28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</row>
    <row r="428" spans="1:28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</row>
    <row r="429" spans="1:28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</row>
    <row r="430" spans="1:28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</row>
    <row r="431" spans="1:28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</row>
    <row r="432" spans="1:28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</row>
    <row r="433" spans="1:28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</row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3.7109375" defaultRowHeight="15.75" customHeight="1"/>
  <cols>
    <col min="1" max="16384" width="14.421875" style="1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